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0005"/>
  </bookViews>
  <sheets>
    <sheet name="2011" sheetId="1" r:id="rId1"/>
    <sheet name="2012" sheetId="2" r:id="rId2"/>
    <sheet name="2013" sheetId="3" r:id="rId3"/>
    <sheet name="201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</externalReferences>
  <definedNames>
    <definedName name="_xlnm.Print_Titles" localSheetId="0">'2011'!$1:$2</definedName>
    <definedName name="_xlnm.Print_Titles" localSheetId="1">'2012'!$1:$2</definedName>
    <definedName name="_xlnm.Print_Titles" localSheetId="2">'2013'!$1:$2</definedName>
    <definedName name="_xlnm.Print_Titles" localSheetId="3">'2014'!$1:$2</definedName>
    <definedName name="_xlnm.Print_Area" localSheetId="0">'2011'!$A$1:$AF$43</definedName>
    <definedName name="_xlnm.Print_Area" localSheetId="1">'2012'!$A$1:$AE$43</definedName>
    <definedName name="_xlnm.Print_Area" localSheetId="2">'2013'!$A$1:$AE$43</definedName>
    <definedName name="_xlnm.Print_Area" localSheetId="3">'2014'!$A$1:$AE$44</definedName>
  </definedNames>
  <calcPr calcId="145621"/>
</workbook>
</file>

<file path=xl/calcChain.xml><?xml version="1.0" encoding="utf-8"?>
<calcChain xmlns="http://schemas.openxmlformats.org/spreadsheetml/2006/main">
  <c r="AJ37" i="4" l="1"/>
  <c r="AJ36" i="4"/>
  <c r="AJ35" i="4"/>
  <c r="AJ34" i="4"/>
  <c r="AJ33" i="4"/>
  <c r="AJ32" i="4"/>
  <c r="AJ31" i="4"/>
  <c r="AJ30" i="4"/>
  <c r="AJ29" i="4"/>
  <c r="AJ28" i="4"/>
  <c r="M1" i="4"/>
  <c r="AJ27" i="4"/>
  <c r="AJ26" i="4"/>
  <c r="D132" i="4"/>
  <c r="C133" i="4" s="1"/>
  <c r="D133" i="4" s="1"/>
  <c r="C132" i="4"/>
  <c r="D129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N30" i="4"/>
  <c r="M30" i="4"/>
  <c r="L30" i="4"/>
  <c r="K30" i="4"/>
  <c r="J30" i="4"/>
  <c r="I30" i="4"/>
  <c r="H30" i="4"/>
  <c r="G30" i="4"/>
  <c r="F30" i="4"/>
  <c r="E30" i="4"/>
  <c r="D30" i="4"/>
  <c r="C30" i="4"/>
  <c r="N29" i="4"/>
  <c r="M29" i="4"/>
  <c r="L29" i="4"/>
  <c r="K29" i="4"/>
  <c r="J29" i="4"/>
  <c r="I29" i="4"/>
  <c r="H29" i="4"/>
  <c r="G29" i="4"/>
  <c r="F29" i="4"/>
  <c r="E29" i="4"/>
  <c r="D29" i="4"/>
  <c r="C29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D132" i="3" l="1"/>
  <c r="C132" i="3"/>
  <c r="C133" i="3" s="1"/>
  <c r="D133" i="3" s="1"/>
  <c r="D129" i="3"/>
  <c r="L40" i="3"/>
  <c r="K40" i="3"/>
  <c r="J40" i="3"/>
  <c r="AJ32" i="3" s="1"/>
  <c r="I40" i="3"/>
  <c r="H40" i="3"/>
  <c r="G40" i="3"/>
  <c r="F40" i="3"/>
  <c r="E40" i="3"/>
  <c r="D40" i="3"/>
  <c r="C40" i="3"/>
  <c r="L39" i="3"/>
  <c r="K39" i="3"/>
  <c r="J39" i="3"/>
  <c r="I39" i="3"/>
  <c r="H39" i="3"/>
  <c r="G39" i="3"/>
  <c r="F39" i="3"/>
  <c r="E39" i="3"/>
  <c r="D39" i="3"/>
  <c r="C39" i="3"/>
  <c r="L38" i="3"/>
  <c r="K38" i="3"/>
  <c r="J38" i="3"/>
  <c r="I38" i="3"/>
  <c r="H38" i="3"/>
  <c r="G38" i="3"/>
  <c r="F38" i="3"/>
  <c r="E38" i="3"/>
  <c r="D38" i="3"/>
  <c r="C38" i="3"/>
  <c r="L37" i="3"/>
  <c r="K37" i="3"/>
  <c r="J37" i="3"/>
  <c r="I37" i="3"/>
  <c r="H37" i="3"/>
  <c r="G37" i="3"/>
  <c r="F37" i="3"/>
  <c r="E37" i="3"/>
  <c r="D37" i="3"/>
  <c r="C37" i="3"/>
  <c r="L36" i="3"/>
  <c r="K36" i="3"/>
  <c r="J36" i="3"/>
  <c r="I36" i="3"/>
  <c r="H36" i="3"/>
  <c r="G36" i="3"/>
  <c r="F36" i="3"/>
  <c r="E36" i="3"/>
  <c r="D36" i="3"/>
  <c r="C36" i="3"/>
  <c r="L35" i="3"/>
  <c r="K35" i="3"/>
  <c r="J35" i="3"/>
  <c r="I35" i="3"/>
  <c r="H35" i="3"/>
  <c r="G35" i="3"/>
  <c r="F35" i="3"/>
  <c r="E35" i="3"/>
  <c r="D35" i="3"/>
  <c r="C35" i="3"/>
  <c r="AJ34" i="3"/>
  <c r="L34" i="3"/>
  <c r="K34" i="3"/>
  <c r="J34" i="3"/>
  <c r="I34" i="3"/>
  <c r="H34" i="3"/>
  <c r="G34" i="3"/>
  <c r="F34" i="3"/>
  <c r="E34" i="3"/>
  <c r="D34" i="3"/>
  <c r="C34" i="3"/>
  <c r="AJ33" i="3"/>
  <c r="L33" i="3"/>
  <c r="K33" i="3"/>
  <c r="J33" i="3"/>
  <c r="I33" i="3"/>
  <c r="H33" i="3"/>
  <c r="G33" i="3"/>
  <c r="F33" i="3"/>
  <c r="E33" i="3"/>
  <c r="D33" i="3"/>
  <c r="C33" i="3"/>
  <c r="L32" i="3"/>
  <c r="K32" i="3"/>
  <c r="J32" i="3"/>
  <c r="I32" i="3"/>
  <c r="H32" i="3"/>
  <c r="G32" i="3"/>
  <c r="F32" i="3"/>
  <c r="E32" i="3"/>
  <c r="D32" i="3"/>
  <c r="C32" i="3"/>
  <c r="AJ31" i="3"/>
  <c r="L31" i="3"/>
  <c r="K31" i="3"/>
  <c r="J31" i="3"/>
  <c r="I31" i="3"/>
  <c r="H31" i="3"/>
  <c r="G31" i="3"/>
  <c r="F31" i="3"/>
  <c r="E31" i="3"/>
  <c r="D31" i="3"/>
  <c r="C31" i="3"/>
  <c r="AJ30" i="3"/>
  <c r="L30" i="3"/>
  <c r="K30" i="3"/>
  <c r="J30" i="3"/>
  <c r="I30" i="3"/>
  <c r="H30" i="3"/>
  <c r="G30" i="3"/>
  <c r="F30" i="3"/>
  <c r="E30" i="3"/>
  <c r="D30" i="3"/>
  <c r="C30" i="3"/>
  <c r="AJ29" i="3"/>
  <c r="L29" i="3"/>
  <c r="K29" i="3"/>
  <c r="J29" i="3"/>
  <c r="I29" i="3"/>
  <c r="H29" i="3"/>
  <c r="G29" i="3"/>
  <c r="F29" i="3"/>
  <c r="E29" i="3"/>
  <c r="D29" i="3"/>
  <c r="C29" i="3"/>
  <c r="AJ26" i="3"/>
  <c r="AO20" i="3"/>
  <c r="AN20" i="3"/>
  <c r="AD20" i="3"/>
  <c r="AJ36" i="3" s="1"/>
  <c r="AC20" i="3"/>
  <c r="AB20" i="3"/>
  <c r="AJ35" i="3" s="1"/>
  <c r="AA20" i="3"/>
  <c r="Z20" i="3"/>
  <c r="Y20" i="3"/>
  <c r="X20" i="3"/>
  <c r="W20" i="3"/>
  <c r="V20" i="3"/>
  <c r="U20" i="3"/>
  <c r="T20" i="3"/>
  <c r="AQ20" i="3" s="1"/>
  <c r="S20" i="3"/>
  <c r="AP20" i="3" s="1"/>
  <c r="R20" i="3"/>
  <c r="Q20" i="3"/>
  <c r="P20" i="3"/>
  <c r="AJ27" i="3" s="1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O19" i="3"/>
  <c r="AN19" i="3"/>
  <c r="AD19" i="3"/>
  <c r="AC19" i="3"/>
  <c r="AB19" i="3"/>
  <c r="AA19" i="3"/>
  <c r="Z19" i="3"/>
  <c r="Y19" i="3"/>
  <c r="X19" i="3"/>
  <c r="W19" i="3"/>
  <c r="V19" i="3"/>
  <c r="U19" i="3"/>
  <c r="T19" i="3"/>
  <c r="AQ19" i="3" s="1"/>
  <c r="S19" i="3"/>
  <c r="AP19" i="3" s="1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O18" i="3"/>
  <c r="AN18" i="3"/>
  <c r="AD18" i="3"/>
  <c r="AC18" i="3"/>
  <c r="AB18" i="3"/>
  <c r="AA18" i="3"/>
  <c r="Z18" i="3"/>
  <c r="Y18" i="3"/>
  <c r="X18" i="3"/>
  <c r="W18" i="3"/>
  <c r="V18" i="3"/>
  <c r="U18" i="3"/>
  <c r="T18" i="3"/>
  <c r="AQ18" i="3" s="1"/>
  <c r="S18" i="3"/>
  <c r="AP18" i="3" s="1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O17" i="3"/>
  <c r="AN17" i="3"/>
  <c r="AD17" i="3"/>
  <c r="AC17" i="3"/>
  <c r="AB17" i="3"/>
  <c r="AA17" i="3"/>
  <c r="Z17" i="3"/>
  <c r="Y17" i="3"/>
  <c r="X17" i="3"/>
  <c r="W17" i="3"/>
  <c r="V17" i="3"/>
  <c r="U17" i="3"/>
  <c r="T17" i="3"/>
  <c r="AQ17" i="3" s="1"/>
  <c r="S17" i="3"/>
  <c r="AP17" i="3" s="1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O16" i="3"/>
  <c r="AN16" i="3"/>
  <c r="AD16" i="3"/>
  <c r="AC16" i="3"/>
  <c r="AB16" i="3"/>
  <c r="AA16" i="3"/>
  <c r="Z16" i="3"/>
  <c r="Y16" i="3"/>
  <c r="X16" i="3"/>
  <c r="W16" i="3"/>
  <c r="V16" i="3"/>
  <c r="U16" i="3"/>
  <c r="T16" i="3"/>
  <c r="AQ16" i="3" s="1"/>
  <c r="S16" i="3"/>
  <c r="AP16" i="3" s="1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O15" i="3"/>
  <c r="AN15" i="3"/>
  <c r="AD15" i="3"/>
  <c r="AC15" i="3"/>
  <c r="AB15" i="3"/>
  <c r="AA15" i="3"/>
  <c r="Z15" i="3"/>
  <c r="Y15" i="3"/>
  <c r="X15" i="3"/>
  <c r="W15" i="3"/>
  <c r="V15" i="3"/>
  <c r="U15" i="3"/>
  <c r="T15" i="3"/>
  <c r="AQ15" i="3" s="1"/>
  <c r="S15" i="3"/>
  <c r="AP15" i="3" s="1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O14" i="3"/>
  <c r="AN14" i="3"/>
  <c r="AD14" i="3"/>
  <c r="AC14" i="3"/>
  <c r="AB14" i="3"/>
  <c r="AA14" i="3"/>
  <c r="Z14" i="3"/>
  <c r="Y14" i="3"/>
  <c r="X14" i="3"/>
  <c r="W14" i="3"/>
  <c r="V14" i="3"/>
  <c r="U14" i="3"/>
  <c r="T14" i="3"/>
  <c r="AQ14" i="3" s="1"/>
  <c r="S14" i="3"/>
  <c r="AP14" i="3" s="1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O13" i="3"/>
  <c r="AN13" i="3"/>
  <c r="AD13" i="3"/>
  <c r="AC13" i="3"/>
  <c r="AB13" i="3"/>
  <c r="AA13" i="3"/>
  <c r="Z13" i="3"/>
  <c r="Y13" i="3"/>
  <c r="X13" i="3"/>
  <c r="W13" i="3"/>
  <c r="V13" i="3"/>
  <c r="U13" i="3"/>
  <c r="T13" i="3"/>
  <c r="AQ13" i="3" s="1"/>
  <c r="S13" i="3"/>
  <c r="AP13" i="3" s="1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O12" i="3"/>
  <c r="AN12" i="3"/>
  <c r="AD12" i="3"/>
  <c r="AC12" i="3"/>
  <c r="AB12" i="3"/>
  <c r="AA12" i="3"/>
  <c r="Z12" i="3"/>
  <c r="Y12" i="3"/>
  <c r="X12" i="3"/>
  <c r="W12" i="3"/>
  <c r="V12" i="3"/>
  <c r="U12" i="3"/>
  <c r="T12" i="3"/>
  <c r="AQ12" i="3" s="1"/>
  <c r="S12" i="3"/>
  <c r="AP12" i="3" s="1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AO11" i="3"/>
  <c r="AN11" i="3"/>
  <c r="AD11" i="3"/>
  <c r="AC11" i="3"/>
  <c r="AB11" i="3"/>
  <c r="AA11" i="3"/>
  <c r="Z11" i="3"/>
  <c r="Y11" i="3"/>
  <c r="X11" i="3"/>
  <c r="W11" i="3"/>
  <c r="V11" i="3"/>
  <c r="U11" i="3"/>
  <c r="T11" i="3"/>
  <c r="AQ11" i="3" s="1"/>
  <c r="S11" i="3"/>
  <c r="AP11" i="3" s="1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O10" i="3"/>
  <c r="AN10" i="3"/>
  <c r="AD10" i="3"/>
  <c r="AC10" i="3"/>
  <c r="AB10" i="3"/>
  <c r="AA10" i="3"/>
  <c r="Z10" i="3"/>
  <c r="Y10" i="3"/>
  <c r="X10" i="3"/>
  <c r="W10" i="3"/>
  <c r="V10" i="3"/>
  <c r="U10" i="3"/>
  <c r="T10" i="3"/>
  <c r="AQ10" i="3" s="1"/>
  <c r="S10" i="3"/>
  <c r="AP10" i="3" s="1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O9" i="3"/>
  <c r="AN9" i="3"/>
  <c r="AD9" i="3"/>
  <c r="AC9" i="3"/>
  <c r="AB9" i="3"/>
  <c r="AA9" i="3"/>
  <c r="Z9" i="3"/>
  <c r="Y9" i="3"/>
  <c r="X9" i="3"/>
  <c r="W9" i="3"/>
  <c r="V9" i="3"/>
  <c r="U9" i="3"/>
  <c r="T9" i="3"/>
  <c r="AQ9" i="3" s="1"/>
  <c r="S9" i="3"/>
  <c r="AP9" i="3" s="1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M1" i="3"/>
  <c r="AJ28" i="3" l="1"/>
  <c r="C132" i="2" l="1"/>
  <c r="D129" i="2"/>
  <c r="D132" i="2" s="1"/>
  <c r="L40" i="2"/>
  <c r="K40" i="2"/>
  <c r="J40" i="2"/>
  <c r="AJ32" i="2" s="1"/>
  <c r="I40" i="2"/>
  <c r="H40" i="2"/>
  <c r="G40" i="2"/>
  <c r="F40" i="2"/>
  <c r="E40" i="2"/>
  <c r="D40" i="2"/>
  <c r="C40" i="2"/>
  <c r="L39" i="2"/>
  <c r="K39" i="2"/>
  <c r="J39" i="2"/>
  <c r="I39" i="2"/>
  <c r="H39" i="2"/>
  <c r="G39" i="2"/>
  <c r="F39" i="2"/>
  <c r="E39" i="2"/>
  <c r="D39" i="2"/>
  <c r="C39" i="2"/>
  <c r="L38" i="2"/>
  <c r="K38" i="2"/>
  <c r="J38" i="2"/>
  <c r="I38" i="2"/>
  <c r="H38" i="2"/>
  <c r="G38" i="2"/>
  <c r="F38" i="2"/>
  <c r="E38" i="2"/>
  <c r="D38" i="2"/>
  <c r="C38" i="2"/>
  <c r="L37" i="2"/>
  <c r="K37" i="2"/>
  <c r="J37" i="2"/>
  <c r="I37" i="2"/>
  <c r="H37" i="2"/>
  <c r="G37" i="2"/>
  <c r="F37" i="2"/>
  <c r="E37" i="2"/>
  <c r="D37" i="2"/>
  <c r="C37" i="2"/>
  <c r="L36" i="2"/>
  <c r="K36" i="2"/>
  <c r="J36" i="2"/>
  <c r="I36" i="2"/>
  <c r="H36" i="2"/>
  <c r="G36" i="2"/>
  <c r="F36" i="2"/>
  <c r="E36" i="2"/>
  <c r="D36" i="2"/>
  <c r="C36" i="2"/>
  <c r="AJ35" i="2"/>
  <c r="L35" i="2"/>
  <c r="K35" i="2"/>
  <c r="J35" i="2"/>
  <c r="I35" i="2"/>
  <c r="H35" i="2"/>
  <c r="G35" i="2"/>
  <c r="F35" i="2"/>
  <c r="E35" i="2"/>
  <c r="D35" i="2"/>
  <c r="C35" i="2"/>
  <c r="AJ34" i="2"/>
  <c r="L34" i="2"/>
  <c r="K34" i="2"/>
  <c r="J34" i="2"/>
  <c r="I34" i="2"/>
  <c r="H34" i="2"/>
  <c r="G34" i="2"/>
  <c r="F34" i="2"/>
  <c r="E34" i="2"/>
  <c r="D34" i="2"/>
  <c r="C34" i="2"/>
  <c r="AJ33" i="2"/>
  <c r="L33" i="2"/>
  <c r="K33" i="2"/>
  <c r="J33" i="2"/>
  <c r="I33" i="2"/>
  <c r="H33" i="2"/>
  <c r="G33" i="2"/>
  <c r="F33" i="2"/>
  <c r="E33" i="2"/>
  <c r="D33" i="2"/>
  <c r="C33" i="2"/>
  <c r="L32" i="2"/>
  <c r="K32" i="2"/>
  <c r="J32" i="2"/>
  <c r="I32" i="2"/>
  <c r="H32" i="2"/>
  <c r="G32" i="2"/>
  <c r="F32" i="2"/>
  <c r="E32" i="2"/>
  <c r="D32" i="2"/>
  <c r="C32" i="2"/>
  <c r="AJ31" i="2"/>
  <c r="L31" i="2"/>
  <c r="K31" i="2"/>
  <c r="J31" i="2"/>
  <c r="I31" i="2"/>
  <c r="H31" i="2"/>
  <c r="G31" i="2"/>
  <c r="F31" i="2"/>
  <c r="E31" i="2"/>
  <c r="D31" i="2"/>
  <c r="C31" i="2"/>
  <c r="AJ30" i="2"/>
  <c r="L30" i="2"/>
  <c r="K30" i="2"/>
  <c r="J30" i="2"/>
  <c r="I30" i="2"/>
  <c r="H30" i="2"/>
  <c r="G30" i="2"/>
  <c r="F30" i="2"/>
  <c r="E30" i="2"/>
  <c r="D30" i="2"/>
  <c r="C30" i="2"/>
  <c r="AJ29" i="2"/>
  <c r="L29" i="2"/>
  <c r="K29" i="2"/>
  <c r="J29" i="2"/>
  <c r="I29" i="2"/>
  <c r="H29" i="2"/>
  <c r="G29" i="2"/>
  <c r="F29" i="2"/>
  <c r="E29" i="2"/>
  <c r="D29" i="2"/>
  <c r="C29" i="2"/>
  <c r="AQ20" i="2"/>
  <c r="AN20" i="2"/>
  <c r="AD20" i="2"/>
  <c r="AJ36" i="2" s="1"/>
  <c r="AC20" i="2"/>
  <c r="AB20" i="2"/>
  <c r="AA20" i="2"/>
  <c r="Z20" i="2"/>
  <c r="Y20" i="2"/>
  <c r="X20" i="2"/>
  <c r="W20" i="2"/>
  <c r="V20" i="2"/>
  <c r="U20" i="2"/>
  <c r="T20" i="2"/>
  <c r="AJ28" i="2" s="1"/>
  <c r="S20" i="2"/>
  <c r="AP20" i="2" s="1"/>
  <c r="R20" i="2"/>
  <c r="AO20" i="2" s="1"/>
  <c r="Q20" i="2"/>
  <c r="P20" i="2"/>
  <c r="O20" i="2"/>
  <c r="N20" i="2"/>
  <c r="M20" i="2"/>
  <c r="L20" i="2"/>
  <c r="K20" i="2"/>
  <c r="J20" i="2"/>
  <c r="AJ27" i="2" s="1"/>
  <c r="I20" i="2"/>
  <c r="H20" i="2"/>
  <c r="G20" i="2"/>
  <c r="F20" i="2"/>
  <c r="AJ26" i="2" s="1"/>
  <c r="E20" i="2"/>
  <c r="D20" i="2"/>
  <c r="C20" i="2"/>
  <c r="AQ19" i="2"/>
  <c r="AN19" i="2"/>
  <c r="AD19" i="2"/>
  <c r="AC19" i="2"/>
  <c r="AB19" i="2"/>
  <c r="AA19" i="2"/>
  <c r="Z19" i="2"/>
  <c r="Y19" i="2"/>
  <c r="X19" i="2"/>
  <c r="W19" i="2"/>
  <c r="V19" i="2"/>
  <c r="U19" i="2"/>
  <c r="T19" i="2"/>
  <c r="S19" i="2"/>
  <c r="AP19" i="2" s="1"/>
  <c r="R19" i="2"/>
  <c r="AO19" i="2" s="1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AQ18" i="2"/>
  <c r="AN18" i="2"/>
  <c r="AD18" i="2"/>
  <c r="AC18" i="2"/>
  <c r="AB18" i="2"/>
  <c r="AA18" i="2"/>
  <c r="Z18" i="2"/>
  <c r="Y18" i="2"/>
  <c r="X18" i="2"/>
  <c r="W18" i="2"/>
  <c r="V18" i="2"/>
  <c r="U18" i="2"/>
  <c r="T18" i="2"/>
  <c r="S18" i="2"/>
  <c r="AP18" i="2" s="1"/>
  <c r="R18" i="2"/>
  <c r="AO18" i="2" s="1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AQ17" i="2"/>
  <c r="AN17" i="2"/>
  <c r="AD17" i="2"/>
  <c r="AC17" i="2"/>
  <c r="AB17" i="2"/>
  <c r="AA17" i="2"/>
  <c r="Z17" i="2"/>
  <c r="Y17" i="2"/>
  <c r="X17" i="2"/>
  <c r="W17" i="2"/>
  <c r="V17" i="2"/>
  <c r="U17" i="2"/>
  <c r="T17" i="2"/>
  <c r="S17" i="2"/>
  <c r="AP17" i="2" s="1"/>
  <c r="R17" i="2"/>
  <c r="AO17" i="2" s="1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AQ16" i="2"/>
  <c r="AN16" i="2"/>
  <c r="AD16" i="2"/>
  <c r="AC16" i="2"/>
  <c r="AB16" i="2"/>
  <c r="AA16" i="2"/>
  <c r="Z16" i="2"/>
  <c r="Y16" i="2"/>
  <c r="X16" i="2"/>
  <c r="W16" i="2"/>
  <c r="V16" i="2"/>
  <c r="U16" i="2"/>
  <c r="T16" i="2"/>
  <c r="S16" i="2"/>
  <c r="AP16" i="2" s="1"/>
  <c r="R16" i="2"/>
  <c r="AO16" i="2" s="1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AQ15" i="2"/>
  <c r="AN15" i="2"/>
  <c r="AD15" i="2"/>
  <c r="AC15" i="2"/>
  <c r="AB15" i="2"/>
  <c r="AA15" i="2"/>
  <c r="Z15" i="2"/>
  <c r="Y15" i="2"/>
  <c r="X15" i="2"/>
  <c r="W15" i="2"/>
  <c r="V15" i="2"/>
  <c r="U15" i="2"/>
  <c r="T15" i="2"/>
  <c r="S15" i="2"/>
  <c r="AP15" i="2" s="1"/>
  <c r="R15" i="2"/>
  <c r="AO15" i="2" s="1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AQ14" i="2"/>
  <c r="AN14" i="2"/>
  <c r="AD14" i="2"/>
  <c r="AC14" i="2"/>
  <c r="AB14" i="2"/>
  <c r="AA14" i="2"/>
  <c r="Z14" i="2"/>
  <c r="Y14" i="2"/>
  <c r="X14" i="2"/>
  <c r="W14" i="2"/>
  <c r="V14" i="2"/>
  <c r="U14" i="2"/>
  <c r="T14" i="2"/>
  <c r="S14" i="2"/>
  <c r="AP14" i="2" s="1"/>
  <c r="R14" i="2"/>
  <c r="AO14" i="2" s="1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AQ13" i="2"/>
  <c r="AN13" i="2"/>
  <c r="AD13" i="2"/>
  <c r="AC13" i="2"/>
  <c r="AB13" i="2"/>
  <c r="AA13" i="2"/>
  <c r="Z13" i="2"/>
  <c r="Y13" i="2"/>
  <c r="X13" i="2"/>
  <c r="W13" i="2"/>
  <c r="V13" i="2"/>
  <c r="U13" i="2"/>
  <c r="T13" i="2"/>
  <c r="S13" i="2"/>
  <c r="AP13" i="2" s="1"/>
  <c r="R13" i="2"/>
  <c r="AO13" i="2" s="1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AQ12" i="2"/>
  <c r="AN12" i="2"/>
  <c r="AD12" i="2"/>
  <c r="AC12" i="2"/>
  <c r="AB12" i="2"/>
  <c r="AA12" i="2"/>
  <c r="Z12" i="2"/>
  <c r="Y12" i="2"/>
  <c r="X12" i="2"/>
  <c r="W12" i="2"/>
  <c r="V12" i="2"/>
  <c r="U12" i="2"/>
  <c r="T12" i="2"/>
  <c r="S12" i="2"/>
  <c r="AP12" i="2" s="1"/>
  <c r="R12" i="2"/>
  <c r="AO12" i="2" s="1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AQ11" i="2"/>
  <c r="AN11" i="2"/>
  <c r="AD11" i="2"/>
  <c r="AC11" i="2"/>
  <c r="AB11" i="2"/>
  <c r="AA11" i="2"/>
  <c r="Z11" i="2"/>
  <c r="Y11" i="2"/>
  <c r="X11" i="2"/>
  <c r="W11" i="2"/>
  <c r="V11" i="2"/>
  <c r="U11" i="2"/>
  <c r="T11" i="2"/>
  <c r="S11" i="2"/>
  <c r="AP11" i="2" s="1"/>
  <c r="R11" i="2"/>
  <c r="AO11" i="2" s="1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AQ10" i="2"/>
  <c r="AN10" i="2"/>
  <c r="AD10" i="2"/>
  <c r="AC10" i="2"/>
  <c r="AB10" i="2"/>
  <c r="AA10" i="2"/>
  <c r="Z10" i="2"/>
  <c r="Y10" i="2"/>
  <c r="X10" i="2"/>
  <c r="W10" i="2"/>
  <c r="V10" i="2"/>
  <c r="U10" i="2"/>
  <c r="T10" i="2"/>
  <c r="S10" i="2"/>
  <c r="AP10" i="2" s="1"/>
  <c r="R10" i="2"/>
  <c r="AO10" i="2" s="1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AQ9" i="2"/>
  <c r="AN9" i="2"/>
  <c r="AD9" i="2"/>
  <c r="AC9" i="2"/>
  <c r="AB9" i="2"/>
  <c r="AA9" i="2"/>
  <c r="Z9" i="2"/>
  <c r="Y9" i="2"/>
  <c r="X9" i="2"/>
  <c r="W9" i="2"/>
  <c r="V9" i="2"/>
  <c r="U9" i="2"/>
  <c r="T9" i="2"/>
  <c r="S9" i="2"/>
  <c r="AP9" i="2" s="1"/>
  <c r="R9" i="2"/>
  <c r="AO9" i="2" s="1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M1" i="2"/>
  <c r="C133" i="2" l="1"/>
  <c r="D133" i="2" s="1"/>
  <c r="C132" i="1" l="1"/>
  <c r="D129" i="1"/>
  <c r="D132" i="1" s="1"/>
  <c r="C133" i="1" s="1"/>
  <c r="D133" i="1" s="1"/>
  <c r="K40" i="1"/>
  <c r="J40" i="1"/>
  <c r="I40" i="1"/>
  <c r="H40" i="1"/>
  <c r="AJ31" i="1" s="1"/>
  <c r="G40" i="1"/>
  <c r="F40" i="1"/>
  <c r="E40" i="1"/>
  <c r="D40" i="1"/>
  <c r="AJ29" i="1" s="1"/>
  <c r="C40" i="1"/>
  <c r="K39" i="1"/>
  <c r="J39" i="1"/>
  <c r="I39" i="1"/>
  <c r="H39" i="1"/>
  <c r="G39" i="1"/>
  <c r="F39" i="1"/>
  <c r="E39" i="1"/>
  <c r="D39" i="1"/>
  <c r="C39" i="1"/>
  <c r="K38" i="1"/>
  <c r="J38" i="1"/>
  <c r="I38" i="1"/>
  <c r="H38" i="1"/>
  <c r="G38" i="1"/>
  <c r="F38" i="1"/>
  <c r="E38" i="1"/>
  <c r="D38" i="1"/>
  <c r="C38" i="1"/>
  <c r="K37" i="1"/>
  <c r="J37" i="1"/>
  <c r="I37" i="1"/>
  <c r="H37" i="1"/>
  <c r="G37" i="1"/>
  <c r="F37" i="1"/>
  <c r="E37" i="1"/>
  <c r="D37" i="1"/>
  <c r="C37" i="1"/>
  <c r="AJ36" i="1"/>
  <c r="K36" i="1"/>
  <c r="J36" i="1"/>
  <c r="I36" i="1"/>
  <c r="H36" i="1"/>
  <c r="G36" i="1"/>
  <c r="F36" i="1"/>
  <c r="E36" i="1"/>
  <c r="D36" i="1"/>
  <c r="C36" i="1"/>
  <c r="K35" i="1"/>
  <c r="J35" i="1"/>
  <c r="I35" i="1"/>
  <c r="H35" i="1"/>
  <c r="G35" i="1"/>
  <c r="F35" i="1"/>
  <c r="E35" i="1"/>
  <c r="D35" i="1"/>
  <c r="C35" i="1"/>
  <c r="K34" i="1"/>
  <c r="J34" i="1"/>
  <c r="I34" i="1"/>
  <c r="H34" i="1"/>
  <c r="G34" i="1"/>
  <c r="F34" i="1"/>
  <c r="E34" i="1"/>
  <c r="D34" i="1"/>
  <c r="C34" i="1"/>
  <c r="K33" i="1"/>
  <c r="J33" i="1"/>
  <c r="I33" i="1"/>
  <c r="H33" i="1"/>
  <c r="G33" i="1"/>
  <c r="F33" i="1"/>
  <c r="E33" i="1"/>
  <c r="D33" i="1"/>
  <c r="C33" i="1"/>
  <c r="AJ32" i="1"/>
  <c r="K32" i="1"/>
  <c r="J32" i="1"/>
  <c r="I32" i="1"/>
  <c r="H32" i="1"/>
  <c r="G32" i="1"/>
  <c r="F32" i="1"/>
  <c r="E32" i="1"/>
  <c r="D32" i="1"/>
  <c r="C32" i="1"/>
  <c r="L31" i="1"/>
  <c r="L32" i="1" s="1"/>
  <c r="L33" i="1" s="1"/>
  <c r="L34" i="1" s="1"/>
  <c r="L35" i="1" s="1"/>
  <c r="L36" i="1" s="1"/>
  <c r="L37" i="1" s="1"/>
  <c r="L38" i="1" s="1"/>
  <c r="L39" i="1" s="1"/>
  <c r="L40" i="1" s="1"/>
  <c r="AJ33" i="1" s="1"/>
  <c r="K31" i="1"/>
  <c r="J31" i="1"/>
  <c r="I31" i="1"/>
  <c r="H31" i="1"/>
  <c r="G31" i="1"/>
  <c r="F31" i="1"/>
  <c r="E31" i="1"/>
  <c r="D31" i="1"/>
  <c r="C31" i="1"/>
  <c r="AJ30" i="1"/>
  <c r="L30" i="1"/>
  <c r="K30" i="1"/>
  <c r="J30" i="1"/>
  <c r="I30" i="1"/>
  <c r="H30" i="1"/>
  <c r="G30" i="1"/>
  <c r="F30" i="1"/>
  <c r="E30" i="1"/>
  <c r="D30" i="1"/>
  <c r="C30" i="1"/>
  <c r="L29" i="1"/>
  <c r="K29" i="1"/>
  <c r="J29" i="1"/>
  <c r="I29" i="1"/>
  <c r="H29" i="1"/>
  <c r="G29" i="1"/>
  <c r="F29" i="1"/>
  <c r="E29" i="1"/>
  <c r="D29" i="1"/>
  <c r="C29" i="1"/>
  <c r="AJ28" i="1"/>
  <c r="AJ26" i="1"/>
  <c r="AF20" i="1"/>
  <c r="AJ35" i="1" s="1"/>
  <c r="AE20" i="1"/>
  <c r="AD20" i="1"/>
  <c r="AC20" i="1"/>
  <c r="AB20" i="1"/>
  <c r="AJ34" i="1" s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AJ27" i="1" s="1"/>
  <c r="I20" i="1"/>
  <c r="H20" i="1"/>
  <c r="G20" i="1"/>
  <c r="F20" i="1"/>
  <c r="E20" i="1"/>
  <c r="D20" i="1"/>
  <c r="C20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M1" i="1"/>
</calcChain>
</file>

<file path=xl/sharedStrings.xml><?xml version="1.0" encoding="utf-8"?>
<sst xmlns="http://schemas.openxmlformats.org/spreadsheetml/2006/main" count="703" uniqueCount="85">
  <si>
    <t>Vývoj v oblasti aktivní politiky zaměstnanosti v roce 2011 -</t>
  </si>
  <si>
    <t>m ě s í c</t>
  </si>
  <si>
    <t>Veřejně prospěšné práce  (VPP)</t>
  </si>
  <si>
    <t>Společensky účelná pracovní místa                                                              u zaměstnavatele</t>
  </si>
  <si>
    <t>Společensky účelná pracovní místa                                                 - vyhrazená místa</t>
  </si>
  <si>
    <t>Samostatná výděl. činnost (SVČ)</t>
  </si>
  <si>
    <t>Chráněné pracovní dílny                             - vytvoření</t>
  </si>
  <si>
    <t>Chráněné pracovní místa                               - vytvoření</t>
  </si>
  <si>
    <t>CHPM - SVČ osob se ZP</t>
  </si>
  <si>
    <t>Příspěvek na provoz CHPD, CHPM a CHPM          - SVČ OZP</t>
  </si>
  <si>
    <t>Příspěvek            na zapracování</t>
  </si>
  <si>
    <t>Příspěvek na nový podnikatelský program (NPP)</t>
  </si>
  <si>
    <t>vytvořená místa</t>
  </si>
  <si>
    <t>umístění uchazeči</t>
  </si>
  <si>
    <t>zaměstnanci</t>
  </si>
  <si>
    <t>stav</t>
  </si>
  <si>
    <t>celkem</t>
  </si>
  <si>
    <t>na konci</t>
  </si>
  <si>
    <t>od poč.</t>
  </si>
  <si>
    <t>sled.měs.</t>
  </si>
  <si>
    <t>roku</t>
  </si>
  <si>
    <t>Překlenovací příspěvek (PP)</t>
  </si>
  <si>
    <r>
      <t>Projekty ESF -                                              OP LZZ - VPP</t>
    </r>
    <r>
      <rPr>
        <b/>
        <sz val="16"/>
        <color indexed="12"/>
        <rFont val="Arial Narrow"/>
        <family val="2"/>
        <charset val="238"/>
      </rPr>
      <t xml:space="preserve"> </t>
    </r>
  </si>
  <si>
    <t xml:space="preserve">Projekty ESF -                            OP LZZ - SÚPM </t>
  </si>
  <si>
    <t xml:space="preserve">Projekty ESF -                            OP LZZ - CP </t>
  </si>
  <si>
    <t>Uchazeči                v rekvalifikaci</t>
  </si>
  <si>
    <t>uchazeči</t>
  </si>
  <si>
    <t>souhrnný graf</t>
  </si>
  <si>
    <t>VPP</t>
  </si>
  <si>
    <t>SÚPM vč.SVČ</t>
  </si>
  <si>
    <t>CHPD a CHPM vč. SVČ</t>
  </si>
  <si>
    <t>překlenovací přísp.</t>
  </si>
  <si>
    <t>ESF VPP</t>
  </si>
  <si>
    <t>ESF SÚPM</t>
  </si>
  <si>
    <t>ESF CP</t>
  </si>
  <si>
    <t>REKV</t>
  </si>
  <si>
    <t>přísp. na provoz CHD, CHM a CHM-SVČ</t>
  </si>
  <si>
    <t>přísp. na NPP</t>
  </si>
  <si>
    <t>přísp. na zapracování</t>
  </si>
  <si>
    <t>Vývoj v oblasti aktivní politiky zaměstnanosti v roce 2012 -</t>
  </si>
  <si>
    <t>Společensky účelná pracovní místa                                                              - zřízená u zaměstnavatele (SÚPM)</t>
  </si>
  <si>
    <t>Společensky účelná pracovní místa                                                 - vyhrazená místa (SÚPM)</t>
  </si>
  <si>
    <t>SÚPM - Samostatná výděl. činnost (SVČ)</t>
  </si>
  <si>
    <t>Chráněné pracovní místa (CHPM)                             - zřízená</t>
  </si>
  <si>
    <t>Příspěvek na provoz CHPM                                                                                                                                                                                                    a CHPM - SVČ OZP</t>
  </si>
  <si>
    <r>
      <t xml:space="preserve">CHPM                                                                                               vymezená </t>
    </r>
    <r>
      <rPr>
        <b/>
        <vertAlign val="superscript"/>
        <sz val="16"/>
        <rFont val="Arial Narrow"/>
        <family val="2"/>
        <charset val="238"/>
      </rPr>
      <t>1)</t>
    </r>
  </si>
  <si>
    <t>Překlenovací příspěvek</t>
  </si>
  <si>
    <t>vymezená místa</t>
  </si>
  <si>
    <t>osoby SVČ</t>
  </si>
  <si>
    <t>CHD a CHM sečtené</t>
  </si>
  <si>
    <t>kontrola</t>
  </si>
  <si>
    <t>od r.2012 je v nezam AIS počet kurzů!!!</t>
  </si>
  <si>
    <t>Rekvalifikace</t>
  </si>
  <si>
    <r>
      <t xml:space="preserve">Zvolená rekvalifikace </t>
    </r>
    <r>
      <rPr>
        <b/>
        <vertAlign val="superscript"/>
        <sz val="16"/>
        <rFont val="Arial Narrow"/>
        <family val="2"/>
        <charset val="238"/>
      </rPr>
      <t>2)</t>
    </r>
  </si>
  <si>
    <t>CHPM vč. SVČ</t>
  </si>
  <si>
    <t>Zvolená rekv.</t>
  </si>
  <si>
    <t>přísp. na provoz CHPM a CHPM-SVČ</t>
  </si>
  <si>
    <r>
      <rPr>
        <i/>
        <vertAlign val="superscript"/>
        <sz val="14"/>
        <rFont val="Arial Narrow"/>
        <family val="2"/>
        <charset val="238"/>
      </rPr>
      <t>1)</t>
    </r>
    <r>
      <rPr>
        <i/>
        <sz val="14"/>
        <rFont val="Arial Narrow"/>
        <family val="2"/>
      </rPr>
      <t xml:space="preserve"> </t>
    </r>
    <r>
      <rPr>
        <i/>
        <sz val="10"/>
        <rFont val="Arial Narrow"/>
        <family val="2"/>
        <charset val="238"/>
      </rPr>
      <t>nejedná se o nově vytvořená místa, pouze o vymezená místa, kde jsou zaměstnáni OZP, pro účely získání příspěvku od ÚP</t>
    </r>
  </si>
  <si>
    <r>
      <t xml:space="preserve">2) </t>
    </r>
    <r>
      <rPr>
        <i/>
        <sz val="10"/>
        <rFont val="Arial Narrow"/>
        <family val="2"/>
        <charset val="238"/>
      </rPr>
      <t>v lednu a únoru se sledovali uchazeči na ZR, od 3/2012 je sledován počet kurzů uchazečů (pokud se uchazeč rekvalifikoval ve více kurzech, je započten vícekrát)</t>
    </r>
  </si>
  <si>
    <t>Vývoj v oblasti aktivní politiky zaměstnanosti v roce 2013 -</t>
  </si>
  <si>
    <t>Zvolená rekvalifikace</t>
  </si>
  <si>
    <r>
      <rPr>
        <i/>
        <vertAlign val="superscript"/>
        <sz val="14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>nejedná se o nově vytvořená místa, pouze o vymezená místa, kde jsou zaměstnáni OZP, pro účely získání příspěvku od ÚP ČR</t>
    </r>
  </si>
  <si>
    <t>Vývoj v oblasti aktivní politiky zaměstnanosti v roce 2014 -</t>
  </si>
  <si>
    <r>
      <t xml:space="preserve">Veřejně prospěšné práce (VPP) </t>
    </r>
    <r>
      <rPr>
        <b/>
        <vertAlign val="superscript"/>
        <sz val="16"/>
        <rFont val="Arial Narrow"/>
        <family val="2"/>
        <charset val="238"/>
      </rPr>
      <t>1)</t>
    </r>
  </si>
  <si>
    <r>
      <t xml:space="preserve">Společensky účelná pracovní místa 
- zřízená u zaměstnavatele (SÚPM) </t>
    </r>
    <r>
      <rPr>
        <b/>
        <vertAlign val="superscript"/>
        <sz val="16"/>
        <rFont val="Arial Narrow"/>
        <family val="2"/>
        <charset val="238"/>
      </rPr>
      <t>1)</t>
    </r>
  </si>
  <si>
    <r>
      <t xml:space="preserve">Společensky účelná pracovní místa 
- vyhrazená místa (SÚPM) </t>
    </r>
    <r>
      <rPr>
        <b/>
        <vertAlign val="superscript"/>
        <sz val="16"/>
        <rFont val="Arial Narrow"/>
        <family val="2"/>
        <charset val="238"/>
      </rPr>
      <t>1)</t>
    </r>
  </si>
  <si>
    <r>
      <t xml:space="preserve">SÚPM - Samostatná výděl. činnost (SVČ) </t>
    </r>
    <r>
      <rPr>
        <b/>
        <vertAlign val="superscript"/>
        <sz val="16"/>
        <rFont val="Arial Narrow"/>
        <family val="2"/>
        <charset val="238"/>
      </rPr>
      <t>1)</t>
    </r>
  </si>
  <si>
    <t>Chráněné pracovní místa (CHPM)
- zřízená</t>
  </si>
  <si>
    <r>
      <t xml:space="preserve">CHPM
vymezená </t>
    </r>
    <r>
      <rPr>
        <b/>
        <vertAlign val="superscript"/>
        <sz val="16"/>
        <rFont val="Arial Narrow"/>
        <family val="2"/>
        <charset val="238"/>
      </rPr>
      <t>2)</t>
    </r>
  </si>
  <si>
    <t>Příspěvek
na zapracování</t>
  </si>
  <si>
    <t>zaměstnanci, SVČ</t>
  </si>
  <si>
    <r>
      <t>Projekty ESF -
OP LZZ - VPP</t>
    </r>
    <r>
      <rPr>
        <b/>
        <sz val="16"/>
        <color indexed="12"/>
        <rFont val="Arial Narrow"/>
        <family val="2"/>
        <charset val="238"/>
      </rPr>
      <t xml:space="preserve"> </t>
    </r>
  </si>
  <si>
    <t xml:space="preserve">Projekty ESF -
OP LZZ - SÚPM </t>
  </si>
  <si>
    <r>
      <t xml:space="preserve">Projekty ESF - 
OP LZZ - CP (RIP) </t>
    </r>
    <r>
      <rPr>
        <b/>
        <vertAlign val="superscript"/>
        <sz val="16"/>
        <rFont val="Arial Narrow"/>
        <family val="2"/>
        <charset val="238"/>
      </rPr>
      <t xml:space="preserve">3) </t>
    </r>
  </si>
  <si>
    <r>
      <rPr>
        <i/>
        <sz val="16"/>
        <rFont val="Arial Narrow"/>
        <family val="2"/>
        <charset val="238"/>
      </rPr>
      <t>z toho</t>
    </r>
    <r>
      <rPr>
        <sz val="16"/>
        <rFont val="Arial Narrow"/>
        <family val="2"/>
        <charset val="238"/>
      </rPr>
      <t xml:space="preserve"> </t>
    </r>
    <r>
      <rPr>
        <b/>
        <sz val="16"/>
        <rFont val="Arial Narrow"/>
        <family val="2"/>
      </rPr>
      <t xml:space="preserve">
RIP "Odborná praxe pro mladé 
do 30 let" </t>
    </r>
  </si>
  <si>
    <r>
      <t xml:space="preserve">Rekvalifikace </t>
    </r>
    <r>
      <rPr>
        <b/>
        <vertAlign val="superscript"/>
        <sz val="16"/>
        <rFont val="Arial Narrow"/>
        <family val="2"/>
        <charset val="238"/>
      </rPr>
      <t>4)</t>
    </r>
  </si>
  <si>
    <r>
      <t xml:space="preserve">Zvolená rekvalifikace </t>
    </r>
    <r>
      <rPr>
        <b/>
        <vertAlign val="superscript"/>
        <sz val="16"/>
        <rFont val="Arial Narrow"/>
        <family val="2"/>
        <charset val="238"/>
      </rPr>
      <t>4)</t>
    </r>
  </si>
  <si>
    <t>Aktivizační pracovní příležitost</t>
  </si>
  <si>
    <t>-</t>
  </si>
  <si>
    <t>ESF CP (RIP)</t>
  </si>
  <si>
    <t>APP</t>
  </si>
  <si>
    <r>
      <rPr>
        <i/>
        <vertAlign val="superscript"/>
        <sz val="10"/>
        <rFont val="Arial CE"/>
        <charset val="238"/>
      </rPr>
      <t xml:space="preserve">1) </t>
    </r>
    <r>
      <rPr>
        <i/>
        <sz val="10"/>
        <rFont val="Arial CE"/>
        <charset val="238"/>
      </rPr>
      <t>bez ESF</t>
    </r>
  </si>
  <si>
    <r>
      <rPr>
        <i/>
        <vertAlign val="superscript"/>
        <sz val="10"/>
        <rFont val="Arial CE"/>
        <charset val="238"/>
      </rPr>
      <t xml:space="preserve">2) </t>
    </r>
    <r>
      <rPr>
        <i/>
        <sz val="10"/>
        <rFont val="Arial CE"/>
        <charset val="238"/>
      </rPr>
      <t>nejedná se o nově vytvořená místa, pouze o vymezená místa, kde jsou zaměstnáni OZP, pro účely získání příspěvku od ÚP ČR</t>
    </r>
  </si>
  <si>
    <r>
      <rPr>
        <i/>
        <vertAlign val="superscript"/>
        <sz val="10"/>
        <rFont val="Arial CE"/>
        <charset val="238"/>
      </rPr>
      <t>3)</t>
    </r>
    <r>
      <rPr>
        <i/>
        <sz val="10"/>
        <rFont val="Arial CE"/>
        <charset val="238"/>
      </rPr>
      <t xml:space="preserve"> vč. regionálního individuálního projektu (RIP) "Odborná praxe pro mladé do 30 let"</t>
    </r>
  </si>
  <si>
    <r>
      <rPr>
        <i/>
        <vertAlign val="superscript"/>
        <sz val="10"/>
        <rFont val="Arial CE"/>
        <charset val="238"/>
      </rPr>
      <t>4)</t>
    </r>
    <r>
      <rPr>
        <i/>
        <sz val="10"/>
        <rFont val="Arial CE"/>
        <charset val="238"/>
      </rPr>
      <t xml:space="preserve"> vč. ESF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</si>
</sst>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\$#,##0\ ;\(\$#,##0\)"/>
  </numFmts>
  <fonts count="58">
    <font>
      <sz val="10"/>
      <name val="Arial CE"/>
      <charset val="238"/>
    </font>
    <font>
      <sz val="10"/>
      <name val="Arial CE"/>
      <charset val="238"/>
    </font>
    <font>
      <sz val="20"/>
      <name val="Arial CE"/>
      <charset val="238"/>
    </font>
    <font>
      <b/>
      <sz val="22"/>
      <name val="Arial CE"/>
      <family val="2"/>
      <charset val="238"/>
    </font>
    <font>
      <b/>
      <sz val="20"/>
      <name val="Arial CE"/>
      <family val="2"/>
      <charset val="238"/>
    </font>
    <font>
      <b/>
      <sz val="20"/>
      <color indexed="14"/>
      <name val="Arial CE"/>
      <family val="2"/>
      <charset val="238"/>
    </font>
    <font>
      <b/>
      <i/>
      <sz val="14"/>
      <color indexed="14"/>
      <name val="Arial CE"/>
      <charset val="238"/>
    </font>
    <font>
      <b/>
      <i/>
      <sz val="14"/>
      <color indexed="12"/>
      <name val="Arial CE"/>
      <charset val="238"/>
    </font>
    <font>
      <b/>
      <i/>
      <sz val="20"/>
      <name val="Arial CE"/>
      <charset val="238"/>
    </font>
    <font>
      <b/>
      <sz val="20"/>
      <color indexed="11"/>
      <name val="Arial CE"/>
      <family val="2"/>
      <charset val="238"/>
    </font>
    <font>
      <b/>
      <sz val="22"/>
      <color indexed="14"/>
      <name val="Arial CE"/>
      <charset val="238"/>
    </font>
    <font>
      <b/>
      <sz val="12"/>
      <color indexed="12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i/>
      <sz val="14"/>
      <name val="Arial Narrow"/>
      <family val="2"/>
    </font>
    <font>
      <b/>
      <sz val="16"/>
      <name val="Arial Narrow"/>
      <family val="2"/>
    </font>
    <font>
      <sz val="12"/>
      <name val="Arial CE"/>
      <family val="2"/>
      <charset val="238"/>
    </font>
    <font>
      <sz val="14"/>
      <name val="Arial Narrow"/>
      <family val="2"/>
    </font>
    <font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charset val="238"/>
    </font>
    <font>
      <b/>
      <sz val="14"/>
      <name val="Arial Narrow"/>
      <family val="2"/>
    </font>
    <font>
      <b/>
      <sz val="16"/>
      <color indexed="12"/>
      <name val="Arial Narrow"/>
      <family val="2"/>
      <charset val="238"/>
    </font>
    <font>
      <b/>
      <sz val="11"/>
      <color indexed="12"/>
      <name val="Arial CE"/>
      <charset val="238"/>
    </font>
    <font>
      <sz val="14"/>
      <name val="Arial CE"/>
      <charset val="238"/>
    </font>
    <font>
      <b/>
      <sz val="14"/>
      <color indexed="14"/>
      <name val="Arial CE"/>
      <charset val="238"/>
    </font>
    <font>
      <sz val="12"/>
      <color indexed="12"/>
      <name val="Arial CE"/>
      <charset val="238"/>
    </font>
    <font>
      <b/>
      <sz val="14"/>
      <name val="Arial CE"/>
      <family val="2"/>
      <charset val="238"/>
    </font>
    <font>
      <i/>
      <sz val="10"/>
      <name val="Arial CE"/>
      <charset val="238"/>
    </font>
    <font>
      <sz val="14"/>
      <color indexed="14"/>
      <name val="Arial CE"/>
      <family val="2"/>
      <charset val="238"/>
    </font>
    <font>
      <sz val="14"/>
      <color indexed="12"/>
      <name val="Arial CE"/>
      <family val="2"/>
      <charset val="238"/>
    </font>
    <font>
      <sz val="8"/>
      <name val="Arial CE"/>
      <charset val="238"/>
    </font>
    <font>
      <sz val="10"/>
      <name val="Arial Narrow"/>
      <family val="2"/>
    </font>
    <font>
      <sz val="8"/>
      <name val="NimbusRoman"/>
      <charset val="238"/>
    </font>
    <font>
      <b/>
      <sz val="18"/>
      <name val="Arial CE"/>
      <charset val="238"/>
    </font>
    <font>
      <b/>
      <sz val="14"/>
      <color rgb="FFFF00FF"/>
      <name val="Arial CE"/>
      <family val="2"/>
      <charset val="238"/>
    </font>
    <font>
      <b/>
      <sz val="10"/>
      <color rgb="FF008080"/>
      <name val="Arial CE"/>
      <family val="2"/>
      <charset val="238"/>
    </font>
    <font>
      <b/>
      <sz val="10"/>
      <color rgb="FFFF00FF"/>
      <name val="Arial CE"/>
      <charset val="238"/>
    </font>
    <font>
      <b/>
      <vertAlign val="superscript"/>
      <sz val="16"/>
      <name val="Arial Narrow"/>
      <family val="2"/>
      <charset val="238"/>
    </font>
    <font>
      <b/>
      <i/>
      <sz val="12"/>
      <name val="Arial CE"/>
      <charset val="238"/>
    </font>
    <font>
      <sz val="14"/>
      <color theme="1"/>
      <name val="Arial CE"/>
      <family val="2"/>
      <charset val="238"/>
    </font>
    <font>
      <sz val="14"/>
      <color theme="1"/>
      <name val="Arial CE"/>
      <charset val="238"/>
    </font>
    <font>
      <b/>
      <sz val="9"/>
      <color rgb="FFFF00FF"/>
      <name val="Arial CE"/>
      <charset val="238"/>
    </font>
    <font>
      <i/>
      <sz val="14"/>
      <name val="Arial Narrow"/>
      <family val="2"/>
      <charset val="238"/>
    </font>
    <font>
      <i/>
      <vertAlign val="superscript"/>
      <sz val="14"/>
      <name val="Arial Narrow"/>
      <family val="2"/>
      <charset val="238"/>
    </font>
    <font>
      <i/>
      <sz val="10"/>
      <name val="Arial Narrow"/>
      <family val="2"/>
      <charset val="238"/>
    </font>
    <font>
      <sz val="9"/>
      <name val="Arial CE"/>
      <family val="2"/>
      <charset val="238"/>
    </font>
    <font>
      <i/>
      <vertAlign val="superscript"/>
      <sz val="14"/>
      <name val="Arial Narrow"/>
      <family val="2"/>
    </font>
    <font>
      <b/>
      <i/>
      <sz val="14"/>
      <name val="Arial CE"/>
      <charset val="238"/>
    </font>
    <font>
      <b/>
      <sz val="14"/>
      <color rgb="FFFF0000"/>
      <name val="Arial CE"/>
      <charset val="238"/>
    </font>
    <font>
      <sz val="14"/>
      <color rgb="FFFFC000"/>
      <name val="Arial CE"/>
      <family val="2"/>
      <charset val="238"/>
    </font>
    <font>
      <b/>
      <sz val="16"/>
      <name val="Arial Narrow"/>
      <family val="2"/>
      <charset val="238"/>
    </font>
    <font>
      <i/>
      <sz val="16"/>
      <name val="Arial Narrow"/>
      <family val="2"/>
      <charset val="238"/>
    </font>
    <font>
      <sz val="16"/>
      <name val="Arial Narrow"/>
      <family val="2"/>
      <charset val="238"/>
    </font>
    <font>
      <sz val="14"/>
      <name val="Arial"/>
      <family val="2"/>
      <charset val="238"/>
    </font>
    <font>
      <sz val="14"/>
      <color rgb="FFFFC000"/>
      <name val="Arial CE"/>
      <charset val="238"/>
    </font>
    <font>
      <sz val="14"/>
      <color theme="9" tint="0.59999389629810485"/>
      <name val="Arial CE"/>
      <charset val="238"/>
    </font>
    <font>
      <i/>
      <vertAlign val="superscript"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</fills>
  <borders count="5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266">
    <xf numFmtId="0" fontId="0" fillId="0" borderId="0" xfId="0"/>
    <xf numFmtId="0" fontId="2" fillId="0" borderId="0" xfId="0" applyFont="1" applyAlignment="1">
      <alignment horizontal="center" vertical="center" textRotation="180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10" fillId="0" borderId="0" xfId="0" applyFont="1" applyBorder="1"/>
    <xf numFmtId="0" fontId="0" fillId="0" borderId="0" xfId="0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14" fillId="0" borderId="1" xfId="0" applyFont="1" applyBorder="1" applyAlignment="1">
      <alignment horizontal="center" vertical="center" textRotation="90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16" fillId="0" borderId="0" xfId="0" applyFont="1" applyFill="1" applyBorder="1"/>
    <xf numFmtId="1" fontId="16" fillId="0" borderId="0" xfId="0" applyNumberFormat="1" applyFont="1" applyFill="1" applyBorder="1"/>
    <xf numFmtId="164" fontId="16" fillId="0" borderId="0" xfId="0" applyNumberFormat="1" applyFont="1" applyFill="1" applyBorder="1"/>
    <xf numFmtId="0" fontId="0" fillId="0" borderId="0" xfId="0" applyFill="1" applyBorder="1"/>
    <xf numFmtId="0" fontId="0" fillId="0" borderId="0" xfId="0" applyFill="1"/>
    <xf numFmtId="0" fontId="0" fillId="0" borderId="9" xfId="0" applyBorder="1" applyAlignment="1">
      <alignment horizontal="center" vertical="center" textRotation="90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6" fillId="0" borderId="0" xfId="0" applyFont="1"/>
    <xf numFmtId="3" fontId="16" fillId="0" borderId="0" xfId="0" applyNumberFormat="1" applyFont="1"/>
    <xf numFmtId="1" fontId="16" fillId="0" borderId="0" xfId="0" applyNumberFormat="1" applyFont="1"/>
    <xf numFmtId="164" fontId="16" fillId="0" borderId="0" xfId="0" applyNumberFormat="1" applyFont="1"/>
    <xf numFmtId="0" fontId="17" fillId="0" borderId="17" xfId="0" applyFont="1" applyBorder="1" applyAlignment="1">
      <alignment horizontal="centerContinuous"/>
    </xf>
    <xf numFmtId="0" fontId="17" fillId="0" borderId="18" xfId="0" applyFont="1" applyBorder="1" applyAlignment="1">
      <alignment horizontal="centerContinuous"/>
    </xf>
    <xf numFmtId="0" fontId="17" fillId="0" borderId="19" xfId="0" applyFont="1" applyBorder="1" applyAlignment="1">
      <alignment horizontal="centerContinuous"/>
    </xf>
    <xf numFmtId="0" fontId="17" fillId="0" borderId="19" xfId="0" applyFont="1" applyBorder="1" applyAlignment="1">
      <alignment horizontal="center"/>
    </xf>
    <xf numFmtId="0" fontId="17" fillId="0" borderId="0" xfId="0" applyFont="1" applyBorder="1" applyAlignment="1">
      <alignment horizontal="centerContinuous"/>
    </xf>
    <xf numFmtId="0" fontId="17" fillId="0" borderId="20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22" xfId="0" applyFont="1" applyBorder="1" applyAlignment="1">
      <alignment horizontal="centerContinuous"/>
    </xf>
    <xf numFmtId="0" fontId="17" fillId="0" borderId="17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0" fillId="0" borderId="24" xfId="0" applyBorder="1" applyAlignment="1">
      <alignment horizontal="center" vertical="center" textRotation="90"/>
    </xf>
    <xf numFmtId="0" fontId="17" fillId="0" borderId="25" xfId="0" applyFont="1" applyBorder="1" applyAlignment="1">
      <alignment horizontal="centerContinuous"/>
    </xf>
    <xf numFmtId="0" fontId="17" fillId="0" borderId="26" xfId="0" applyFont="1" applyBorder="1" applyAlignment="1">
      <alignment horizontal="centerContinuous"/>
    </xf>
    <xf numFmtId="0" fontId="17" fillId="0" borderId="27" xfId="0" applyFont="1" applyBorder="1" applyAlignment="1">
      <alignment horizontal="centerContinuous"/>
    </xf>
    <xf numFmtId="0" fontId="1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Continuous"/>
    </xf>
    <xf numFmtId="0" fontId="17" fillId="0" borderId="29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7" fillId="0" borderId="31" xfId="0" applyFont="1" applyBorder="1" applyAlignment="1">
      <alignment horizontal="centerContinuous"/>
    </xf>
    <xf numFmtId="0" fontId="17" fillId="0" borderId="25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3" fontId="18" fillId="0" borderId="33" xfId="0" applyNumberFormat="1" applyFont="1" applyBorder="1"/>
    <xf numFmtId="3" fontId="18" fillId="0" borderId="34" xfId="0" applyNumberFormat="1" applyFont="1" applyBorder="1"/>
    <xf numFmtId="3" fontId="18" fillId="0" borderId="35" xfId="0" applyNumberFormat="1" applyFont="1" applyBorder="1"/>
    <xf numFmtId="3" fontId="18" fillId="0" borderId="5" xfId="0" applyNumberFormat="1" applyFont="1" applyBorder="1"/>
    <xf numFmtId="3" fontId="18" fillId="0" borderId="36" xfId="0" applyNumberFormat="1" applyFont="1" applyBorder="1"/>
    <xf numFmtId="3" fontId="18" fillId="0" borderId="6" xfId="0" applyNumberFormat="1" applyFont="1" applyBorder="1"/>
    <xf numFmtId="3" fontId="18" fillId="0" borderId="37" xfId="0" applyNumberFormat="1" applyFont="1" applyBorder="1"/>
    <xf numFmtId="3" fontId="18" fillId="0" borderId="7" xfId="0" applyNumberFormat="1" applyFont="1" applyBorder="1"/>
    <xf numFmtId="3" fontId="18" fillId="0" borderId="38" xfId="0" applyNumberFormat="1" applyFont="1" applyBorder="1"/>
    <xf numFmtId="3" fontId="18" fillId="0" borderId="39" xfId="0" applyNumberFormat="1" applyFont="1" applyBorder="1"/>
    <xf numFmtId="3" fontId="18" fillId="0" borderId="18" xfId="0" applyNumberFormat="1" applyFont="1" applyBorder="1"/>
    <xf numFmtId="3" fontId="18" fillId="0" borderId="17" xfId="0" applyNumberFormat="1" applyFont="1" applyBorder="1"/>
    <xf numFmtId="3" fontId="18" fillId="0" borderId="40" xfId="0" applyNumberFormat="1" applyFont="1" applyBorder="1"/>
    <xf numFmtId="3" fontId="18" fillId="0" borderId="19" xfId="0" applyNumberFormat="1" applyFont="1" applyBorder="1"/>
    <xf numFmtId="3" fontId="18" fillId="0" borderId="0" xfId="0" applyNumberFormat="1" applyFont="1" applyBorder="1"/>
    <xf numFmtId="3" fontId="18" fillId="0" borderId="22" xfId="0" applyNumberFormat="1" applyFont="1" applyBorder="1"/>
    <xf numFmtId="3" fontId="18" fillId="0" borderId="20" xfId="0" applyNumberFormat="1" applyFont="1" applyBorder="1"/>
    <xf numFmtId="3" fontId="18" fillId="0" borderId="41" xfId="0" applyNumberFormat="1" applyFont="1" applyBorder="1"/>
    <xf numFmtId="0" fontId="16" fillId="0" borderId="0" xfId="0" applyFont="1" applyBorder="1"/>
    <xf numFmtId="1" fontId="16" fillId="0" borderId="0" xfId="0" applyNumberFormat="1" applyFont="1" applyBorder="1"/>
    <xf numFmtId="164" fontId="16" fillId="0" borderId="0" xfId="0" applyNumberFormat="1" applyFont="1" applyBorder="1"/>
    <xf numFmtId="3" fontId="12" fillId="0" borderId="0" xfId="0" applyNumberFormat="1" applyFont="1" applyBorder="1"/>
    <xf numFmtId="164" fontId="12" fillId="0" borderId="0" xfId="0" applyNumberFormat="1" applyFont="1" applyBorder="1"/>
    <xf numFmtId="3" fontId="18" fillId="0" borderId="0" xfId="0" applyNumberFormat="1" applyFont="1" applyFill="1" applyBorder="1"/>
    <xf numFmtId="0" fontId="19" fillId="3" borderId="0" xfId="0" applyFont="1" applyFill="1" applyBorder="1" applyAlignment="1">
      <alignment horizontal="center"/>
    </xf>
    <xf numFmtId="0" fontId="14" fillId="0" borderId="24" xfId="0" applyFont="1" applyFill="1" applyBorder="1" applyAlignment="1">
      <alignment horizontal="center"/>
    </xf>
    <xf numFmtId="3" fontId="18" fillId="0" borderId="42" xfId="0" applyNumberFormat="1" applyFont="1" applyBorder="1"/>
    <xf numFmtId="3" fontId="18" fillId="0" borderId="26" xfId="0" applyNumberFormat="1" applyFont="1" applyBorder="1"/>
    <xf numFmtId="3" fontId="18" fillId="0" borderId="25" xfId="0" applyNumberFormat="1" applyFont="1" applyBorder="1"/>
    <xf numFmtId="3" fontId="18" fillId="0" borderId="43" xfId="0" applyNumberFormat="1" applyFont="1" applyBorder="1"/>
    <xf numFmtId="3" fontId="18" fillId="0" borderId="27" xfId="0" applyNumberFormat="1" applyFont="1" applyBorder="1"/>
    <xf numFmtId="3" fontId="18" fillId="0" borderId="28" xfId="0" applyNumberFormat="1" applyFont="1" applyBorder="1"/>
    <xf numFmtId="3" fontId="18" fillId="0" borderId="31" xfId="0" applyNumberFormat="1" applyFont="1" applyBorder="1"/>
    <xf numFmtId="3" fontId="18" fillId="0" borderId="29" xfId="0" applyNumberFormat="1" applyFont="1" applyBorder="1"/>
    <xf numFmtId="3" fontId="18" fillId="0" borderId="44" xfId="0" applyNumberFormat="1" applyFont="1" applyBorder="1"/>
    <xf numFmtId="0" fontId="14" fillId="0" borderId="0" xfId="0" applyFont="1" applyBorder="1" applyAlignment="1">
      <alignment horizontal="center"/>
    </xf>
    <xf numFmtId="0" fontId="18" fillId="0" borderId="0" xfId="0" applyFont="1" applyBorder="1"/>
    <xf numFmtId="0" fontId="15" fillId="0" borderId="0" xfId="0" applyFont="1" applyFill="1" applyBorder="1" applyAlignment="1">
      <alignment horizontal="center"/>
    </xf>
    <xf numFmtId="3" fontId="20" fillId="0" borderId="0" xfId="0" applyNumberFormat="1" applyFont="1" applyFill="1" applyBorder="1"/>
    <xf numFmtId="0" fontId="14" fillId="0" borderId="28" xfId="0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Continuous"/>
    </xf>
    <xf numFmtId="0" fontId="21" fillId="0" borderId="0" xfId="0" applyFont="1" applyFill="1" applyBorder="1" applyAlignment="1">
      <alignment horizontal="center"/>
    </xf>
    <xf numFmtId="0" fontId="0" fillId="2" borderId="3" xfId="0" applyFill="1" applyBorder="1"/>
    <xf numFmtId="0" fontId="15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/>
    <xf numFmtId="0" fontId="17" fillId="0" borderId="0" xfId="0" applyFont="1" applyFill="1" applyBorder="1" applyAlignment="1"/>
    <xf numFmtId="0" fontId="23" fillId="0" borderId="0" xfId="0" applyFont="1"/>
    <xf numFmtId="3" fontId="18" fillId="0" borderId="0" xfId="0" applyNumberFormat="1" applyFont="1" applyFill="1" applyBorder="1" applyAlignment="1"/>
    <xf numFmtId="3" fontId="24" fillId="0" borderId="45" xfId="0" applyNumberFormat="1" applyFont="1" applyBorder="1"/>
    <xf numFmtId="3" fontId="24" fillId="0" borderId="17" xfId="0" applyNumberFormat="1" applyFont="1" applyBorder="1"/>
    <xf numFmtId="3" fontId="24" fillId="0" borderId="22" xfId="0" applyNumberFormat="1" applyFont="1" applyBorder="1"/>
    <xf numFmtId="3" fontId="24" fillId="0" borderId="20" xfId="0" applyNumberFormat="1" applyFont="1" applyBorder="1"/>
    <xf numFmtId="3" fontId="18" fillId="0" borderId="38" xfId="0" applyNumberFormat="1" applyFont="1" applyBorder="1" applyAlignment="1"/>
    <xf numFmtId="3" fontId="24" fillId="0" borderId="0" xfId="0" applyNumberFormat="1" applyFont="1" applyFill="1" applyBorder="1"/>
    <xf numFmtId="3" fontId="24" fillId="0" borderId="46" xfId="0" applyNumberFormat="1" applyFont="1" applyBorder="1"/>
    <xf numFmtId="3" fontId="18" fillId="0" borderId="41" xfId="0" applyNumberFormat="1" applyFont="1" applyBorder="1" applyAlignment="1"/>
    <xf numFmtId="3" fontId="0" fillId="0" borderId="0" xfId="0" applyNumberFormat="1"/>
    <xf numFmtId="0" fontId="0" fillId="0" borderId="0" xfId="0" applyAlignment="1"/>
    <xf numFmtId="3" fontId="18" fillId="0" borderId="22" xfId="0" applyNumberFormat="1" applyFont="1" applyFill="1" applyBorder="1"/>
    <xf numFmtId="3" fontId="18" fillId="0" borderId="41" xfId="0" applyNumberFormat="1" applyFont="1" applyFill="1" applyBorder="1" applyAlignment="1"/>
    <xf numFmtId="0" fontId="14" fillId="0" borderId="24" xfId="0" applyFont="1" applyBorder="1" applyAlignment="1">
      <alignment horizontal="center"/>
    </xf>
    <xf numFmtId="3" fontId="24" fillId="0" borderId="47" xfId="0" applyNumberFormat="1" applyFont="1" applyBorder="1"/>
    <xf numFmtId="3" fontId="24" fillId="0" borderId="25" xfId="0" applyNumberFormat="1" applyFont="1" applyBorder="1"/>
    <xf numFmtId="3" fontId="24" fillId="0" borderId="31" xfId="0" applyNumberFormat="1" applyFont="1" applyBorder="1"/>
    <xf numFmtId="3" fontId="24" fillId="0" borderId="29" xfId="0" applyNumberFormat="1" applyFont="1" applyBorder="1"/>
    <xf numFmtId="3" fontId="18" fillId="0" borderId="31" xfId="0" applyNumberFormat="1" applyFont="1" applyFill="1" applyBorder="1"/>
    <xf numFmtId="3" fontId="18" fillId="0" borderId="44" xfId="0" applyNumberFormat="1" applyFont="1" applyFill="1" applyBorder="1" applyAlignment="1"/>
    <xf numFmtId="0" fontId="14" fillId="0" borderId="0" xfId="0" applyFont="1" applyBorder="1" applyAlignment="1">
      <alignment horizontal="left"/>
    </xf>
    <xf numFmtId="3" fontId="25" fillId="0" borderId="0" xfId="0" applyNumberFormat="1" applyFont="1" applyFill="1" applyBorder="1"/>
    <xf numFmtId="3" fontId="26" fillId="0" borderId="0" xfId="0" applyNumberFormat="1" applyFont="1" applyFill="1" applyBorder="1"/>
    <xf numFmtId="165" fontId="18" fillId="0" borderId="0" xfId="0" applyNumberFormat="1" applyFont="1" applyFill="1" applyBorder="1"/>
    <xf numFmtId="0" fontId="2" fillId="0" borderId="0" xfId="0" applyFont="1" applyAlignment="1">
      <alignment horizontal="left" vertical="center" textRotation="180"/>
    </xf>
    <xf numFmtId="0" fontId="27" fillId="0" borderId="0" xfId="0" applyFont="1"/>
    <xf numFmtId="0" fontId="10" fillId="0" borderId="0" xfId="0" applyFont="1"/>
    <xf numFmtId="0" fontId="28" fillId="0" borderId="0" xfId="0" applyFont="1"/>
    <xf numFmtId="0" fontId="24" fillId="0" borderId="0" xfId="0" applyFont="1" applyBorder="1"/>
    <xf numFmtId="3" fontId="29" fillId="0" borderId="0" xfId="0" applyNumberFormat="1" applyFont="1" applyBorder="1" applyAlignment="1"/>
    <xf numFmtId="0" fontId="18" fillId="0" borderId="0" xfId="0" applyFont="1"/>
    <xf numFmtId="3" fontId="30" fillId="0" borderId="0" xfId="0" applyNumberFormat="1" applyFont="1" applyBorder="1" applyAlignment="1"/>
    <xf numFmtId="0" fontId="31" fillId="0" borderId="0" xfId="0" applyFont="1" applyBorder="1" applyAlignment="1">
      <alignment horizontal="centerContinuous"/>
    </xf>
    <xf numFmtId="0" fontId="31" fillId="0" borderId="0" xfId="0" applyFont="1" applyAlignment="1">
      <alignment horizontal="centerContinuous"/>
    </xf>
    <xf numFmtId="0" fontId="14" fillId="0" borderId="0" xfId="0" applyFont="1" applyBorder="1" applyAlignment="1">
      <alignment horizontal="centerContinuous"/>
    </xf>
    <xf numFmtId="0" fontId="32" fillId="0" borderId="0" xfId="0" applyFont="1" applyFill="1" applyBorder="1" applyAlignment="1">
      <alignment horizontal="center" vertical="center" wrapText="1"/>
    </xf>
    <xf numFmtId="1" fontId="0" fillId="0" borderId="0" xfId="0" applyNumberFormat="1" applyBorder="1"/>
    <xf numFmtId="1" fontId="0" fillId="0" borderId="0" xfId="0" applyNumberFormat="1"/>
    <xf numFmtId="3" fontId="30" fillId="0" borderId="0" xfId="0" applyNumberFormat="1" applyFont="1" applyBorder="1"/>
    <xf numFmtId="0" fontId="33" fillId="0" borderId="0" xfId="0" applyFont="1"/>
    <xf numFmtId="0" fontId="33" fillId="0" borderId="0" xfId="0" applyFont="1" applyAlignment="1">
      <alignment horizontal="centerContinuous"/>
    </xf>
    <xf numFmtId="0" fontId="31" fillId="0" borderId="48" xfId="0" applyFont="1" applyBorder="1" applyAlignment="1">
      <alignment horizontal="centerContinuous"/>
    </xf>
    <xf numFmtId="0" fontId="35" fillId="0" borderId="0" xfId="0" applyFont="1" applyFill="1" applyAlignment="1">
      <alignment horizontal="left"/>
    </xf>
    <xf numFmtId="0" fontId="36" fillId="0" borderId="0" xfId="0" applyFont="1" applyAlignment="1">
      <alignment horizontal="left"/>
    </xf>
    <xf numFmtId="0" fontId="37" fillId="0" borderId="0" xfId="0" applyFont="1" applyFill="1"/>
    <xf numFmtId="0" fontId="17" fillId="0" borderId="40" xfId="0" applyFont="1" applyBorder="1" applyAlignment="1">
      <alignment horizontal="centerContinuous"/>
    </xf>
    <xf numFmtId="0" fontId="17" fillId="0" borderId="43" xfId="0" applyFont="1" applyBorder="1" applyAlignment="1">
      <alignment horizontal="centerContinuous"/>
    </xf>
    <xf numFmtId="1" fontId="12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3" fontId="24" fillId="0" borderId="35" xfId="0" applyNumberFormat="1" applyFont="1" applyBorder="1"/>
    <xf numFmtId="3" fontId="24" fillId="0" borderId="41" xfId="0" applyNumberFormat="1" applyFont="1" applyBorder="1"/>
    <xf numFmtId="3" fontId="40" fillId="0" borderId="42" xfId="0" applyNumberFormat="1" applyFont="1" applyBorder="1"/>
    <xf numFmtId="3" fontId="40" fillId="0" borderId="26" xfId="0" applyNumberFormat="1" applyFont="1" applyBorder="1"/>
    <xf numFmtId="3" fontId="40" fillId="0" borderId="25" xfId="0" applyNumberFormat="1" applyFont="1" applyBorder="1"/>
    <xf numFmtId="3" fontId="40" fillId="0" borderId="43" xfId="0" applyNumberFormat="1" applyFont="1" applyBorder="1"/>
    <xf numFmtId="3" fontId="40" fillId="0" borderId="27" xfId="0" applyNumberFormat="1" applyFont="1" applyBorder="1"/>
    <xf numFmtId="3" fontId="40" fillId="0" borderId="28" xfId="0" applyNumberFormat="1" applyFont="1" applyBorder="1"/>
    <xf numFmtId="3" fontId="40" fillId="0" borderId="31" xfId="0" applyNumberFormat="1" applyFont="1" applyBorder="1"/>
    <xf numFmtId="3" fontId="41" fillId="0" borderId="25" xfId="0" applyNumberFormat="1" applyFont="1" applyBorder="1"/>
    <xf numFmtId="3" fontId="41" fillId="0" borderId="32" xfId="0" applyNumberFormat="1" applyFont="1" applyBorder="1"/>
    <xf numFmtId="3" fontId="42" fillId="2" borderId="28" xfId="0" applyNumberFormat="1" applyFont="1" applyFill="1" applyBorder="1" applyAlignment="1">
      <alignment horizontal="center" wrapText="1"/>
    </xf>
    <xf numFmtId="3" fontId="24" fillId="0" borderId="41" xfId="0" applyNumberFormat="1" applyFont="1" applyFill="1" applyBorder="1"/>
    <xf numFmtId="3" fontId="24" fillId="0" borderId="22" xfId="0" applyNumberFormat="1" applyFont="1" applyFill="1" applyBorder="1"/>
    <xf numFmtId="3" fontId="24" fillId="0" borderId="20" xfId="0" applyNumberFormat="1" applyFont="1" applyFill="1" applyBorder="1"/>
    <xf numFmtId="3" fontId="24" fillId="0" borderId="31" xfId="0" applyNumberFormat="1" applyFont="1" applyFill="1" applyBorder="1"/>
    <xf numFmtId="3" fontId="24" fillId="0" borderId="29" xfId="0" applyNumberFormat="1" applyFont="1" applyFill="1" applyBorder="1"/>
    <xf numFmtId="3" fontId="24" fillId="0" borderId="28" xfId="0" applyNumberFormat="1" applyFont="1" applyFill="1" applyBorder="1"/>
    <xf numFmtId="3" fontId="24" fillId="0" borderId="44" xfId="0" applyNumberFormat="1" applyFont="1" applyFill="1" applyBorder="1"/>
    <xf numFmtId="0" fontId="43" fillId="0" borderId="0" xfId="0" applyFont="1" applyBorder="1" applyAlignment="1">
      <alignment horizontal="left"/>
    </xf>
    <xf numFmtId="3" fontId="46" fillId="0" borderId="0" xfId="0" applyNumberFormat="1" applyFont="1" applyBorder="1"/>
    <xf numFmtId="0" fontId="47" fillId="0" borderId="0" xfId="0" applyFont="1" applyBorder="1" applyAlignment="1">
      <alignment horizontal="left"/>
    </xf>
    <xf numFmtId="3" fontId="18" fillId="0" borderId="32" xfId="0" applyNumberFormat="1" applyFont="1" applyBorder="1"/>
    <xf numFmtId="3" fontId="48" fillId="0" borderId="0" xfId="0" applyNumberFormat="1" applyFont="1" applyFill="1" applyBorder="1"/>
    <xf numFmtId="3" fontId="42" fillId="0" borderId="28" xfId="0" applyNumberFormat="1" applyFont="1" applyFill="1" applyBorder="1" applyAlignment="1"/>
    <xf numFmtId="0" fontId="17" fillId="0" borderId="49" xfId="0" applyFont="1" applyBorder="1" applyAlignment="1">
      <alignment horizontal="center"/>
    </xf>
    <xf numFmtId="0" fontId="17" fillId="0" borderId="41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49" fillId="0" borderId="0" xfId="0" applyFont="1"/>
    <xf numFmtId="1" fontId="12" fillId="0" borderId="0" xfId="0" applyNumberFormat="1" applyFont="1" applyFill="1" applyBorder="1" applyAlignment="1"/>
    <xf numFmtId="0" fontId="39" fillId="0" borderId="0" xfId="0" applyFont="1" applyFill="1" applyBorder="1" applyAlignment="1"/>
    <xf numFmtId="1" fontId="0" fillId="0" borderId="0" xfId="0" applyNumberFormat="1" applyFill="1" applyBorder="1"/>
    <xf numFmtId="3" fontId="18" fillId="0" borderId="39" xfId="0" applyNumberFormat="1" applyFont="1" applyFill="1" applyBorder="1"/>
    <xf numFmtId="3" fontId="18" fillId="0" borderId="18" xfId="0" applyNumberFormat="1" applyFont="1" applyFill="1" applyBorder="1"/>
    <xf numFmtId="3" fontId="18" fillId="0" borderId="17" xfId="0" applyNumberFormat="1" applyFont="1" applyFill="1" applyBorder="1"/>
    <xf numFmtId="3" fontId="18" fillId="0" borderId="40" xfId="0" applyNumberFormat="1" applyFont="1" applyFill="1" applyBorder="1"/>
    <xf numFmtId="3" fontId="18" fillId="0" borderId="19" xfId="0" applyNumberFormat="1" applyFont="1" applyFill="1" applyBorder="1"/>
    <xf numFmtId="3" fontId="18" fillId="0" borderId="20" xfId="0" applyNumberFormat="1" applyFont="1" applyFill="1" applyBorder="1"/>
    <xf numFmtId="3" fontId="18" fillId="0" borderId="41" xfId="0" applyNumberFormat="1" applyFont="1" applyFill="1" applyBorder="1"/>
    <xf numFmtId="3" fontId="40" fillId="0" borderId="39" xfId="0" applyNumberFormat="1" applyFont="1" applyBorder="1"/>
    <xf numFmtId="3" fontId="40" fillId="0" borderId="18" xfId="0" applyNumberFormat="1" applyFont="1" applyBorder="1"/>
    <xf numFmtId="3" fontId="40" fillId="0" borderId="17" xfId="0" applyNumberFormat="1" applyFont="1" applyBorder="1"/>
    <xf numFmtId="3" fontId="40" fillId="0" borderId="40" xfId="0" applyNumberFormat="1" applyFont="1" applyBorder="1"/>
    <xf numFmtId="3" fontId="40" fillId="0" borderId="19" xfId="0" applyNumberFormat="1" applyFont="1" applyBorder="1"/>
    <xf numFmtId="3" fontId="40" fillId="0" borderId="0" xfId="0" applyNumberFormat="1" applyFont="1" applyBorder="1"/>
    <xf numFmtId="3" fontId="40" fillId="0" borderId="22" xfId="0" applyNumberFormat="1" applyFont="1" applyBorder="1"/>
    <xf numFmtId="3" fontId="40" fillId="0" borderId="20" xfId="0" applyNumberFormat="1" applyFont="1" applyBorder="1"/>
    <xf numFmtId="3" fontId="40" fillId="0" borderId="41" xfId="0" applyNumberFormat="1" applyFont="1" applyBorder="1"/>
    <xf numFmtId="3" fontId="50" fillId="0" borderId="39" xfId="0" applyNumberFormat="1" applyFont="1" applyBorder="1"/>
    <xf numFmtId="3" fontId="50" fillId="0" borderId="18" xfId="0" applyNumberFormat="1" applyFont="1" applyBorder="1"/>
    <xf numFmtId="3" fontId="50" fillId="0" borderId="17" xfId="0" applyNumberFormat="1" applyFont="1" applyBorder="1"/>
    <xf numFmtId="3" fontId="50" fillId="0" borderId="40" xfId="0" applyNumberFormat="1" applyFont="1" applyBorder="1"/>
    <xf numFmtId="3" fontId="50" fillId="0" borderId="19" xfId="0" applyNumberFormat="1" applyFont="1" applyBorder="1"/>
    <xf numFmtId="3" fontId="50" fillId="0" borderId="0" xfId="0" applyNumberFormat="1" applyFont="1" applyBorder="1"/>
    <xf numFmtId="3" fontId="50" fillId="0" borderId="22" xfId="0" applyNumberFormat="1" applyFont="1" applyBorder="1"/>
    <xf numFmtId="3" fontId="50" fillId="0" borderId="20" xfId="0" applyNumberFormat="1" applyFont="1" applyBorder="1"/>
    <xf numFmtId="3" fontId="50" fillId="0" borderId="41" xfId="0" applyNumberFormat="1" applyFont="1" applyBorder="1"/>
    <xf numFmtId="3" fontId="50" fillId="0" borderId="42" xfId="0" applyNumberFormat="1" applyFont="1" applyBorder="1"/>
    <xf numFmtId="3" fontId="50" fillId="0" borderId="26" xfId="0" applyNumberFormat="1" applyFont="1" applyBorder="1"/>
    <xf numFmtId="3" fontId="50" fillId="0" borderId="25" xfId="0" applyNumberFormat="1" applyFont="1" applyBorder="1"/>
    <xf numFmtId="3" fontId="50" fillId="0" borderId="43" xfId="0" applyNumberFormat="1" applyFont="1" applyBorder="1"/>
    <xf numFmtId="3" fontId="50" fillId="0" borderId="27" xfId="0" applyNumberFormat="1" applyFont="1" applyBorder="1"/>
    <xf numFmtId="3" fontId="50" fillId="0" borderId="28" xfId="0" applyNumberFormat="1" applyFont="1" applyBorder="1"/>
    <xf numFmtId="3" fontId="50" fillId="0" borderId="31" xfId="0" applyNumberFormat="1" applyFont="1" applyBorder="1"/>
    <xf numFmtId="3" fontId="50" fillId="0" borderId="29" xfId="0" applyNumberFormat="1" applyFont="1" applyBorder="1"/>
    <xf numFmtId="3" fontId="50" fillId="0" borderId="32" xfId="0" applyNumberFormat="1" applyFont="1" applyBorder="1"/>
    <xf numFmtId="0" fontId="15" fillId="2" borderId="50" xfId="0" applyFont="1" applyFill="1" applyBorder="1" applyAlignment="1">
      <alignment horizontal="center" vertical="center" wrapText="1"/>
    </xf>
    <xf numFmtId="0" fontId="51" fillId="2" borderId="2" xfId="0" applyFont="1" applyFill="1" applyBorder="1" applyAlignment="1">
      <alignment horizontal="center" vertical="center" wrapText="1"/>
    </xf>
    <xf numFmtId="0" fontId="15" fillId="2" borderId="51" xfId="0" applyFont="1" applyFill="1" applyBorder="1" applyAlignment="1">
      <alignment horizontal="center" vertical="center" wrapText="1"/>
    </xf>
    <xf numFmtId="0" fontId="15" fillId="2" borderId="52" xfId="0" applyFont="1" applyFill="1" applyBorder="1" applyAlignment="1">
      <alignment horizontal="center" vertical="center" wrapText="1"/>
    </xf>
    <xf numFmtId="3" fontId="24" fillId="0" borderId="17" xfId="0" applyNumberFormat="1" applyFont="1" applyFill="1" applyBorder="1"/>
    <xf numFmtId="3" fontId="18" fillId="0" borderId="0" xfId="0" applyNumberFormat="1" applyFont="1" applyFill="1" applyBorder="1" applyAlignment="1">
      <alignment horizontal="center"/>
    </xf>
    <xf numFmtId="3" fontId="18" fillId="0" borderId="53" xfId="0" applyNumberFormat="1" applyFont="1" applyFill="1" applyBorder="1" applyAlignment="1">
      <alignment horizontal="center"/>
    </xf>
    <xf numFmtId="3" fontId="24" fillId="0" borderId="40" xfId="0" applyNumberFormat="1" applyFont="1" applyFill="1" applyBorder="1"/>
    <xf numFmtId="0" fontId="24" fillId="0" borderId="0" xfId="0" applyFont="1"/>
    <xf numFmtId="0" fontId="54" fillId="0" borderId="0" xfId="0" applyFont="1" applyFill="1" applyBorder="1" applyAlignment="1">
      <alignment horizontal="right"/>
    </xf>
    <xf numFmtId="3" fontId="54" fillId="0" borderId="0" xfId="0" applyNumberFormat="1" applyFont="1" applyFill="1" applyBorder="1" applyAlignment="1">
      <alignment horizontal="right"/>
    </xf>
    <xf numFmtId="3" fontId="54" fillId="0" borderId="53" xfId="0" applyNumberFormat="1" applyFont="1" applyFill="1" applyBorder="1" applyAlignment="1">
      <alignment horizontal="right"/>
    </xf>
    <xf numFmtId="3" fontId="24" fillId="0" borderId="0" xfId="0" applyNumberFormat="1" applyFont="1" applyFill="1" applyBorder="1" applyAlignment="1">
      <alignment horizontal="right"/>
    </xf>
    <xf numFmtId="3" fontId="24" fillId="0" borderId="53" xfId="0" applyNumberFormat="1" applyFont="1" applyFill="1" applyBorder="1" applyAlignment="1">
      <alignment horizontal="right"/>
    </xf>
    <xf numFmtId="3" fontId="55" fillId="0" borderId="22" xfId="0" applyNumberFormat="1" applyFont="1" applyBorder="1"/>
    <xf numFmtId="3" fontId="55" fillId="0" borderId="20" xfId="0" applyNumberFormat="1" applyFont="1" applyBorder="1"/>
    <xf numFmtId="3" fontId="55" fillId="0" borderId="22" xfId="0" applyNumberFormat="1" applyFont="1" applyFill="1" applyBorder="1"/>
    <xf numFmtId="3" fontId="55" fillId="0" borderId="17" xfId="0" applyNumberFormat="1" applyFont="1" applyFill="1" applyBorder="1"/>
    <xf numFmtId="0" fontId="55" fillId="0" borderId="0" xfId="0" applyFont="1"/>
    <xf numFmtId="3" fontId="55" fillId="0" borderId="20" xfId="0" applyNumberFormat="1" applyFont="1" applyFill="1" applyBorder="1"/>
    <xf numFmtId="3" fontId="56" fillId="0" borderId="0" xfId="0" applyNumberFormat="1" applyFont="1" applyFill="1" applyBorder="1" applyAlignment="1">
      <alignment horizontal="right"/>
    </xf>
    <xf numFmtId="3" fontId="56" fillId="0" borderId="53" xfId="0" applyNumberFormat="1" applyFont="1" applyFill="1" applyBorder="1" applyAlignment="1">
      <alignment horizontal="right"/>
    </xf>
    <xf numFmtId="3" fontId="55" fillId="0" borderId="31" xfId="0" applyNumberFormat="1" applyFont="1" applyBorder="1"/>
    <xf numFmtId="3" fontId="55" fillId="0" borderId="29" xfId="0" applyNumberFormat="1" applyFont="1" applyBorder="1"/>
    <xf numFmtId="3" fontId="55" fillId="0" borderId="31" xfId="0" applyNumberFormat="1" applyFont="1" applyFill="1" applyBorder="1"/>
    <xf numFmtId="3" fontId="55" fillId="0" borderId="25" xfId="0" applyNumberFormat="1" applyFont="1" applyFill="1" applyBorder="1"/>
    <xf numFmtId="0" fontId="55" fillId="0" borderId="30" xfId="0" applyFont="1" applyBorder="1"/>
    <xf numFmtId="0" fontId="55" fillId="0" borderId="29" xfId="0" applyFont="1" applyBorder="1"/>
    <xf numFmtId="3" fontId="55" fillId="0" borderId="29" xfId="0" applyNumberFormat="1" applyFont="1" applyFill="1" applyBorder="1"/>
    <xf numFmtId="3" fontId="56" fillId="0" borderId="54" xfId="0" applyNumberFormat="1" applyFont="1" applyFill="1" applyBorder="1" applyAlignment="1">
      <alignment horizontal="right"/>
    </xf>
    <xf numFmtId="3" fontId="56" fillId="0" borderId="55" xfId="0" applyNumberFormat="1" applyFont="1" applyFill="1" applyBorder="1" applyAlignment="1">
      <alignment horizontal="right"/>
    </xf>
    <xf numFmtId="0" fontId="28" fillId="0" borderId="0" xfId="0" applyFont="1" applyBorder="1" applyAlignment="1">
      <alignment horizontal="left"/>
    </xf>
  </cellXfs>
  <cellStyles count="7">
    <cellStyle name="Datum" xfId="1"/>
    <cellStyle name="Finanční0" xfId="2"/>
    <cellStyle name="Měna0" xfId="3"/>
    <cellStyle name="Normální" xfId="0" builtinId="0"/>
    <cellStyle name="Pevný" xfId="4"/>
    <cellStyle name="Záhlaví 1" xfId="5"/>
    <cellStyle name="Záhlaví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76" Type="http://schemas.openxmlformats.org/officeDocument/2006/relationships/externalLink" Target="externalLinks/externalLink72.xml"/><Relationship Id="rId84" Type="http://schemas.openxmlformats.org/officeDocument/2006/relationships/externalLink" Target="externalLinks/externalLink80.xml"/><Relationship Id="rId89" Type="http://schemas.openxmlformats.org/officeDocument/2006/relationships/externalLink" Target="externalLinks/externalLink85.xml"/><Relationship Id="rId97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92" Type="http://schemas.openxmlformats.org/officeDocument/2006/relationships/externalLink" Target="externalLinks/externalLink8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87" Type="http://schemas.openxmlformats.org/officeDocument/2006/relationships/externalLink" Target="externalLinks/externalLink83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90" Type="http://schemas.openxmlformats.org/officeDocument/2006/relationships/externalLink" Target="externalLinks/externalLink86.xml"/><Relationship Id="rId95" Type="http://schemas.openxmlformats.org/officeDocument/2006/relationships/theme" Target="theme/theme1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externalLink" Target="externalLinks/externalLink73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93" Type="http://schemas.openxmlformats.org/officeDocument/2006/relationships/externalLink" Target="externalLinks/externalLink89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83" Type="http://schemas.openxmlformats.org/officeDocument/2006/relationships/externalLink" Target="externalLinks/externalLink79.xml"/><Relationship Id="rId88" Type="http://schemas.openxmlformats.org/officeDocument/2006/relationships/externalLink" Target="externalLinks/externalLink84.xml"/><Relationship Id="rId91" Type="http://schemas.openxmlformats.org/officeDocument/2006/relationships/externalLink" Target="externalLinks/externalLink87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81" Type="http://schemas.openxmlformats.org/officeDocument/2006/relationships/externalLink" Target="externalLinks/externalLink77.xml"/><Relationship Id="rId86" Type="http://schemas.openxmlformats.org/officeDocument/2006/relationships/externalLink" Target="externalLinks/externalLink82.xml"/><Relationship Id="rId94" Type="http://schemas.openxmlformats.org/officeDocument/2006/relationships/externalLink" Target="externalLinks/externalLink9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cs-CZ" sz="2400"/>
              <a:t>Počet osob podpořených v rámci APZ v roce 2011</a:t>
            </a:r>
          </a:p>
        </c:rich>
      </c:tx>
      <c:layout>
        <c:manualLayout>
          <c:xMode val="edge"/>
          <c:yMode val="edge"/>
          <c:x val="0.2753355124228497"/>
          <c:y val="1.0086621209882279E-2"/>
        </c:manualLayout>
      </c:layout>
      <c:overlay val="0"/>
    </c:title>
    <c:autoTitleDeleted val="0"/>
    <c:view3D>
      <c:rotX val="20"/>
      <c:hPercent val="47"/>
      <c:rotY val="38"/>
      <c:depthPercent val="70"/>
      <c:rAngAx val="1"/>
    </c:view3D>
    <c:floor>
      <c:thickness val="0"/>
    </c:floor>
    <c:sideWall>
      <c:thickness val="0"/>
      <c:spPr>
        <a:ln>
          <a:solidFill>
            <a:schemeClr val="bg1">
              <a:lumMod val="65000"/>
            </a:schemeClr>
          </a:solidFill>
        </a:ln>
      </c:spPr>
    </c:sideWall>
    <c:backWall>
      <c:thickness val="0"/>
      <c:spPr>
        <a:ln>
          <a:solidFill>
            <a:schemeClr val="bg1">
              <a:lumMod val="65000"/>
            </a:schemeClr>
          </a:solidFill>
        </a:ln>
      </c:spPr>
    </c:backWall>
    <c:plotArea>
      <c:layout>
        <c:manualLayout>
          <c:layoutTarget val="inner"/>
          <c:xMode val="edge"/>
          <c:yMode val="edge"/>
          <c:x val="8.2152974504249299E-2"/>
          <c:y val="9.3511642143927723E-2"/>
          <c:w val="0.89022662889518411"/>
          <c:h val="0.81318317113846028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5928890981869727E-3"/>
                  <c:y val="-1.429848078641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185778196373911E-2"/>
                  <c:y val="-7.14924039320822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5928890981869206E-3"/>
                  <c:y val="-1.072386058981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9.4184129974099365E-4"/>
                  <c:y val="-1.25111706881143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4184129974099369E-3"/>
                  <c:y val="-8.9365504915102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7092064987049684E-3"/>
                  <c:y val="-1.7873100983020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8.4765716976688745E-3"/>
                  <c:y val="-1.6085790884718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7.5347303979279492E-3"/>
                  <c:y val="-5.3619302949061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7.5347303979279492E-3"/>
                  <c:y val="-2.8596961572832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1.6085790884718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4184129974099365E-4"/>
                  <c:y val="-1.072386058981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'2011'!$AH$26:$AH$36</c:f>
              <c:strCache>
                <c:ptCount val="11"/>
                <c:pt idx="0">
                  <c:v>VPP</c:v>
                </c:pt>
                <c:pt idx="1">
                  <c:v>SÚPM vč.SVČ</c:v>
                </c:pt>
                <c:pt idx="2">
                  <c:v>CHPD a CHPM vč. SVČ</c:v>
                </c:pt>
                <c:pt idx="3">
                  <c:v>překlenovací přísp.</c:v>
                </c:pt>
                <c:pt idx="4">
                  <c:v>ESF VPP</c:v>
                </c:pt>
                <c:pt idx="5">
                  <c:v>ESF SÚPM</c:v>
                </c:pt>
                <c:pt idx="6">
                  <c:v>ESF CP</c:v>
                </c:pt>
                <c:pt idx="7">
                  <c:v>REKV</c:v>
                </c:pt>
                <c:pt idx="8">
                  <c:v>přísp. na provoz CHD, CHM a CHM-SVČ</c:v>
                </c:pt>
                <c:pt idx="9">
                  <c:v>přísp. na NPP</c:v>
                </c:pt>
                <c:pt idx="10">
                  <c:v>přísp. na zapracování</c:v>
                </c:pt>
              </c:strCache>
            </c:strRef>
          </c:cat>
          <c:val>
            <c:numRef>
              <c:f>'2011'!$AJ$26:$AJ$36</c:f>
              <c:numCache>
                <c:formatCode>#,##0</c:formatCode>
                <c:ptCount val="11"/>
                <c:pt idx="0">
                  <c:v>9830</c:v>
                </c:pt>
                <c:pt idx="1">
                  <c:v>9030</c:v>
                </c:pt>
                <c:pt idx="2">
                  <c:v>1405</c:v>
                </c:pt>
                <c:pt idx="3">
                  <c:v>345</c:v>
                </c:pt>
                <c:pt idx="4">
                  <c:v>11492</c:v>
                </c:pt>
                <c:pt idx="5">
                  <c:v>4380</c:v>
                </c:pt>
                <c:pt idx="6">
                  <c:v>643</c:v>
                </c:pt>
                <c:pt idx="7">
                  <c:v>45521</c:v>
                </c:pt>
                <c:pt idx="8">
                  <c:v>14620</c:v>
                </c:pt>
                <c:pt idx="9">
                  <c:v>0</c:v>
                </c:pt>
                <c:pt idx="10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144192"/>
        <c:axId val="89067520"/>
        <c:axId val="0"/>
      </c:bar3DChart>
      <c:catAx>
        <c:axId val="3114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/>
            </a:pPr>
            <a:endParaRPr lang="cs-CZ"/>
          </a:p>
        </c:txPr>
        <c:crossAx val="8906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0675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cs-CZ"/>
          </a:p>
        </c:txPr>
        <c:crossAx val="31144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cs-CZ" sz="2400"/>
              <a:t>Počet osob podpořených v rámci APZ v roce 2012</a:t>
            </a:r>
          </a:p>
        </c:rich>
      </c:tx>
      <c:layout>
        <c:manualLayout>
          <c:xMode val="edge"/>
          <c:yMode val="edge"/>
          <c:x val="0.24263505432074156"/>
          <c:y val="2.438510199629872E-2"/>
        </c:manualLayout>
      </c:layout>
      <c:overlay val="0"/>
    </c:title>
    <c:autoTitleDeleted val="0"/>
    <c:view3D>
      <c:rotX val="20"/>
      <c:hPercent val="47"/>
      <c:rotY val="38"/>
      <c:depthPercent val="70"/>
      <c:rAngAx val="1"/>
    </c:view3D>
    <c:floor>
      <c:thickness val="0"/>
    </c:floor>
    <c:sideWall>
      <c:thickness val="0"/>
      <c:spPr>
        <a:ln>
          <a:solidFill>
            <a:schemeClr val="bg1">
              <a:lumMod val="65000"/>
            </a:schemeClr>
          </a:solidFill>
        </a:ln>
      </c:spPr>
    </c:sideWall>
    <c:backWall>
      <c:thickness val="0"/>
      <c:spPr>
        <a:ln>
          <a:solidFill>
            <a:schemeClr val="bg1">
              <a:lumMod val="65000"/>
            </a:schemeClr>
          </a:solidFill>
        </a:ln>
      </c:spPr>
    </c:backWall>
    <c:plotArea>
      <c:layout>
        <c:manualLayout>
          <c:layoutTarget val="inner"/>
          <c:xMode val="edge"/>
          <c:yMode val="edge"/>
          <c:x val="4.1612425136047175E-2"/>
          <c:y val="9.3511642143927723E-2"/>
          <c:w val="0.93076718450734197"/>
          <c:h val="0.81318317113846028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5928890981869727E-3"/>
                  <c:y val="-1.429848078641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9663277849762451E-3"/>
                  <c:y val="-1.7873100983020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5928890981869206E-3"/>
                  <c:y val="-1.072386058981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5451011661517E-2"/>
                  <c:y val="-2.4829650363216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4184129974099369E-3"/>
                  <c:y val="-8.9365504915102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7092064987049684E-3"/>
                  <c:y val="-1.7873100983020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8.4765716976688745E-3"/>
                  <c:y val="-1.6085790884718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7.5347303979279492E-3"/>
                  <c:y val="-5.3619302949061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7.5347303979279492E-3"/>
                  <c:y val="-2.8596961572832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1.6085790884718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4184129974099365E-4"/>
                  <c:y val="-1.072386058981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/>
              <a:lstStyle/>
              <a:p>
                <a:pPr>
                  <a:defRPr sz="1100"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'2012'!$AH$26:$AH$36</c:f>
              <c:strCache>
                <c:ptCount val="11"/>
                <c:pt idx="0">
                  <c:v>VPP</c:v>
                </c:pt>
                <c:pt idx="1">
                  <c:v>SÚPM vč.SVČ</c:v>
                </c:pt>
                <c:pt idx="2">
                  <c:v>CHPM vč. SVČ</c:v>
                </c:pt>
                <c:pt idx="3">
                  <c:v>ESF VPP</c:v>
                </c:pt>
                <c:pt idx="4">
                  <c:v>ESF SÚPM</c:v>
                </c:pt>
                <c:pt idx="5">
                  <c:v>ESF CP</c:v>
                </c:pt>
                <c:pt idx="6">
                  <c:v>REKV</c:v>
                </c:pt>
                <c:pt idx="7">
                  <c:v>Zvolená rekv.</c:v>
                </c:pt>
                <c:pt idx="8">
                  <c:v>přísp. na provoz CHPM a CHPM-SVČ</c:v>
                </c:pt>
                <c:pt idx="9">
                  <c:v>přísp. na zapracování</c:v>
                </c:pt>
                <c:pt idx="10">
                  <c:v>překlenovací přísp.</c:v>
                </c:pt>
              </c:strCache>
            </c:strRef>
          </c:cat>
          <c:val>
            <c:numRef>
              <c:f>'2012'!$AJ$26:$AJ$36</c:f>
              <c:numCache>
                <c:formatCode>#,##0</c:formatCode>
                <c:ptCount val="11"/>
                <c:pt idx="0">
                  <c:v>5279</c:v>
                </c:pt>
                <c:pt idx="1">
                  <c:v>7933</c:v>
                </c:pt>
                <c:pt idx="2">
                  <c:v>817</c:v>
                </c:pt>
                <c:pt idx="3">
                  <c:v>7554</c:v>
                </c:pt>
                <c:pt idx="4">
                  <c:v>3447</c:v>
                </c:pt>
                <c:pt idx="5">
                  <c:v>522</c:v>
                </c:pt>
                <c:pt idx="6">
                  <c:v>18631</c:v>
                </c:pt>
                <c:pt idx="7">
                  <c:v>6568</c:v>
                </c:pt>
                <c:pt idx="8">
                  <c:v>1514</c:v>
                </c:pt>
                <c:pt idx="9">
                  <c:v>13</c:v>
                </c:pt>
                <c:pt idx="10">
                  <c:v>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294144"/>
        <c:axId val="112316416"/>
        <c:axId val="0"/>
      </c:bar3DChart>
      <c:catAx>
        <c:axId val="11229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/>
            </a:pPr>
            <a:endParaRPr lang="cs-CZ"/>
          </a:p>
        </c:txPr>
        <c:crossAx val="11231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31641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cs-CZ"/>
          </a:p>
        </c:txPr>
        <c:crossAx val="1122941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cs-CZ" sz="2400"/>
              <a:t>Počet osob podpořených v rámci APZ v roce 2013</a:t>
            </a:r>
          </a:p>
        </c:rich>
      </c:tx>
      <c:layout>
        <c:manualLayout>
          <c:xMode val="edge"/>
          <c:yMode val="edge"/>
          <c:x val="0.24263505432074156"/>
          <c:y val="2.438510199629872E-2"/>
        </c:manualLayout>
      </c:layout>
      <c:overlay val="0"/>
    </c:title>
    <c:autoTitleDeleted val="0"/>
    <c:view3D>
      <c:rotX val="20"/>
      <c:hPercent val="47"/>
      <c:rotY val="38"/>
      <c:depthPercent val="70"/>
      <c:rAngAx val="1"/>
    </c:view3D>
    <c:floor>
      <c:thickness val="0"/>
    </c:floor>
    <c:sideWall>
      <c:thickness val="0"/>
      <c:spPr>
        <a:ln>
          <a:solidFill>
            <a:schemeClr val="bg1">
              <a:lumMod val="65000"/>
            </a:schemeClr>
          </a:solidFill>
        </a:ln>
      </c:spPr>
    </c:sideWall>
    <c:backWall>
      <c:thickness val="0"/>
      <c:spPr>
        <a:ln>
          <a:solidFill>
            <a:schemeClr val="bg1">
              <a:lumMod val="65000"/>
            </a:schemeClr>
          </a:solidFill>
        </a:ln>
      </c:spPr>
    </c:backWall>
    <c:plotArea>
      <c:layout>
        <c:manualLayout>
          <c:layoutTarget val="inner"/>
          <c:xMode val="edge"/>
          <c:yMode val="edge"/>
          <c:x val="4.1612425136047175E-2"/>
          <c:y val="9.3511642143927723E-2"/>
          <c:w val="0.93076718450734197"/>
          <c:h val="0.81318317113846028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5928890981869727E-3"/>
                  <c:y val="-1.429848078641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9663277849762451E-3"/>
                  <c:y val="-1.7873100983020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5928890981869206E-3"/>
                  <c:y val="-1.072386058981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5451011661517E-2"/>
                  <c:y val="-2.4829650363216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4184129974099369E-3"/>
                  <c:y val="-8.9365504915102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7092064987049684E-3"/>
                  <c:y val="-1.7873100983020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8.4765716976688745E-3"/>
                  <c:y val="-1.6085790884718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80898036479625E-2"/>
                  <c:y val="-1.2401107142733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7.5347303979279492E-3"/>
                  <c:y val="-2.8596961572832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1.6085790884718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4184129974099365E-4"/>
                  <c:y val="-1.072386058981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/>
              <a:lstStyle/>
              <a:p>
                <a:pPr>
                  <a:defRPr sz="1100"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'2013'!$AH$26:$AH$36</c:f>
              <c:strCache>
                <c:ptCount val="11"/>
                <c:pt idx="0">
                  <c:v>VPP</c:v>
                </c:pt>
                <c:pt idx="1">
                  <c:v>SÚPM vč.SVČ</c:v>
                </c:pt>
                <c:pt idx="2">
                  <c:v>CHPM vč. SVČ</c:v>
                </c:pt>
                <c:pt idx="3">
                  <c:v>ESF VPP</c:v>
                </c:pt>
                <c:pt idx="4">
                  <c:v>ESF SÚPM</c:v>
                </c:pt>
                <c:pt idx="5">
                  <c:v>ESF CP</c:v>
                </c:pt>
                <c:pt idx="6">
                  <c:v>REKV</c:v>
                </c:pt>
                <c:pt idx="7">
                  <c:v>Zvolená rekv.</c:v>
                </c:pt>
                <c:pt idx="8">
                  <c:v>přísp. na provoz CHPM a CHPM-SVČ</c:v>
                </c:pt>
                <c:pt idx="9">
                  <c:v>přísp. na zapracování</c:v>
                </c:pt>
                <c:pt idx="10">
                  <c:v>překlenovací přísp.</c:v>
                </c:pt>
              </c:strCache>
            </c:strRef>
          </c:cat>
          <c:val>
            <c:numRef>
              <c:f>'2013'!$AJ$26:$AJ$36</c:f>
              <c:numCache>
                <c:formatCode>#,##0</c:formatCode>
                <c:ptCount val="11"/>
                <c:pt idx="0">
                  <c:v>5232</c:v>
                </c:pt>
                <c:pt idx="1">
                  <c:v>8831</c:v>
                </c:pt>
                <c:pt idx="2">
                  <c:v>768</c:v>
                </c:pt>
                <c:pt idx="3">
                  <c:v>16607</c:v>
                </c:pt>
                <c:pt idx="4">
                  <c:v>12885</c:v>
                </c:pt>
                <c:pt idx="5">
                  <c:v>3301</c:v>
                </c:pt>
                <c:pt idx="6">
                  <c:v>27877</c:v>
                </c:pt>
                <c:pt idx="7">
                  <c:v>13561</c:v>
                </c:pt>
                <c:pt idx="8">
                  <c:v>92</c:v>
                </c:pt>
                <c:pt idx="9">
                  <c:v>54</c:v>
                </c:pt>
                <c:pt idx="10">
                  <c:v>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734784"/>
        <c:axId val="75600256"/>
        <c:axId val="0"/>
      </c:bar3DChart>
      <c:catAx>
        <c:axId val="73734784"/>
        <c:scaling>
          <c:orientation val="minMax"/>
        </c:scaling>
        <c:delete val="0"/>
        <c:axPos val="b"/>
        <c:numFmt formatCode="#,##0.00" sourceLinked="0"/>
        <c:majorTickMark val="out"/>
        <c:minorTickMark val="none"/>
        <c:tickLblPos val="low"/>
        <c:txPr>
          <a:bodyPr rot="0" vert="horz"/>
          <a:lstStyle/>
          <a:p>
            <a:pPr>
              <a:defRPr sz="1100"/>
            </a:pPr>
            <a:endParaRPr lang="cs-CZ"/>
          </a:p>
        </c:txPr>
        <c:crossAx val="7560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60025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cs-CZ"/>
          </a:p>
        </c:txPr>
        <c:crossAx val="73734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cs-CZ" sz="2000"/>
              <a:t>Počet osob podpořených v rámci APZ  v roce 2014 </a:t>
            </a:r>
          </a:p>
        </c:rich>
      </c:tx>
      <c:layout>
        <c:manualLayout>
          <c:xMode val="edge"/>
          <c:yMode val="edge"/>
          <c:x val="0.19776200693540225"/>
          <c:y val="1.1547864411303174E-2"/>
        </c:manualLayout>
      </c:layout>
      <c:overlay val="0"/>
    </c:title>
    <c:autoTitleDeleted val="0"/>
    <c:view3D>
      <c:rotX val="20"/>
      <c:hPercent val="47"/>
      <c:rotY val="38"/>
      <c:depthPercent val="70"/>
      <c:rAngAx val="1"/>
    </c:view3D>
    <c:floor>
      <c:thickness val="0"/>
    </c:floor>
    <c:sideWall>
      <c:thickness val="0"/>
      <c:spPr>
        <a:ln>
          <a:solidFill>
            <a:schemeClr val="bg1">
              <a:lumMod val="65000"/>
            </a:schemeClr>
          </a:solidFill>
        </a:ln>
      </c:spPr>
    </c:sideWall>
    <c:backWall>
      <c:thickness val="0"/>
      <c:spPr>
        <a:ln>
          <a:solidFill>
            <a:schemeClr val="bg1">
              <a:lumMod val="65000"/>
            </a:schemeClr>
          </a:solidFill>
        </a:ln>
      </c:spPr>
    </c:backWall>
    <c:plotArea>
      <c:layout>
        <c:manualLayout>
          <c:layoutTarget val="inner"/>
          <c:xMode val="edge"/>
          <c:yMode val="edge"/>
          <c:x val="4.1612425136047175E-2"/>
          <c:y val="9.5624829763716612E-2"/>
          <c:w val="0.94899680544765475"/>
          <c:h val="0.7401802886475256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5929100634572581E-3"/>
                  <c:y val="-2.2827325688766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9663277849762451E-3"/>
                  <c:y val="-1.7873100983020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5928890981869206E-3"/>
                  <c:y val="-1.072386058981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5451011661517E-2"/>
                  <c:y val="-2.4829650363216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4184129974099369E-3"/>
                  <c:y val="-8.9365504915102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1038323532343268E-2"/>
                  <c:y val="-2.2256367207830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8.4765716976688745E-3"/>
                  <c:y val="-1.6085790884718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80898036479625E-2"/>
                  <c:y val="-1.2401107142733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7.5347303979279492E-3"/>
                  <c:y val="-2.8596961572832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1.6085790884718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4184129974099365E-4"/>
                  <c:y val="-1.072386058981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/>
              <a:lstStyle/>
              <a:p>
                <a:pPr>
                  <a:defRPr sz="1100"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'2014'!$AH$26:$AH$37</c:f>
              <c:strCache>
                <c:ptCount val="12"/>
                <c:pt idx="0">
                  <c:v>VPP</c:v>
                </c:pt>
                <c:pt idx="1">
                  <c:v>SÚPM vč.SVČ</c:v>
                </c:pt>
                <c:pt idx="2">
                  <c:v>CHPM vč. SVČ</c:v>
                </c:pt>
                <c:pt idx="3">
                  <c:v>ESF VPP</c:v>
                </c:pt>
                <c:pt idx="4">
                  <c:v>ESF SÚPM</c:v>
                </c:pt>
                <c:pt idx="5">
                  <c:v>ESF CP (RIP)</c:v>
                </c:pt>
                <c:pt idx="6">
                  <c:v>REKV</c:v>
                </c:pt>
                <c:pt idx="7">
                  <c:v>Zvolená rekv.</c:v>
                </c:pt>
                <c:pt idx="8">
                  <c:v>přísp. na provoz CHPM a CHPM-SVČ</c:v>
                </c:pt>
                <c:pt idx="9">
                  <c:v>přísp. na zapracování</c:v>
                </c:pt>
                <c:pt idx="10">
                  <c:v>překlenovací přísp.</c:v>
                </c:pt>
                <c:pt idx="11">
                  <c:v>APP</c:v>
                </c:pt>
              </c:strCache>
            </c:strRef>
          </c:cat>
          <c:val>
            <c:numRef>
              <c:f>'2014'!$AJ$26:$AJ$37</c:f>
              <c:numCache>
                <c:formatCode>#,##0</c:formatCode>
                <c:ptCount val="12"/>
                <c:pt idx="0">
                  <c:v>4107</c:v>
                </c:pt>
                <c:pt idx="1">
                  <c:v>7369</c:v>
                </c:pt>
                <c:pt idx="2">
                  <c:v>971</c:v>
                </c:pt>
                <c:pt idx="3">
                  <c:v>17543</c:v>
                </c:pt>
                <c:pt idx="4">
                  <c:v>18943</c:v>
                </c:pt>
                <c:pt idx="5">
                  <c:v>7950</c:v>
                </c:pt>
                <c:pt idx="6">
                  <c:v>22020</c:v>
                </c:pt>
                <c:pt idx="7">
                  <c:v>18164</c:v>
                </c:pt>
                <c:pt idx="8">
                  <c:v>108</c:v>
                </c:pt>
                <c:pt idx="9">
                  <c:v>35</c:v>
                </c:pt>
                <c:pt idx="10">
                  <c:v>224</c:v>
                </c:pt>
                <c:pt idx="11">
                  <c:v>1367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9000448"/>
        <c:axId val="119104640"/>
        <c:axId val="0"/>
      </c:bar3DChart>
      <c:catAx>
        <c:axId val="119000448"/>
        <c:scaling>
          <c:orientation val="minMax"/>
        </c:scaling>
        <c:delete val="0"/>
        <c:axPos val="b"/>
        <c:numFmt formatCode="#,##0.00" sourceLinked="0"/>
        <c:majorTickMark val="out"/>
        <c:minorTickMark val="none"/>
        <c:tickLblPos val="low"/>
        <c:txPr>
          <a:bodyPr rot="-1200000" vert="horz"/>
          <a:lstStyle/>
          <a:p>
            <a:pPr>
              <a:defRPr sz="1100"/>
            </a:pPr>
            <a:endParaRPr lang="cs-CZ"/>
          </a:p>
        </c:txPr>
        <c:crossAx val="11910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10464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cs-CZ"/>
          </a:p>
        </c:txPr>
        <c:crossAx val="1190004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485775</xdr:colOff>
      <xdr:row>21</xdr:row>
      <xdr:rowOff>314325</xdr:rowOff>
    </xdr:from>
    <xdr:to>
      <xdr:col>31</xdr:col>
      <xdr:colOff>571500</xdr:colOff>
      <xdr:row>42</xdr:row>
      <xdr:rowOff>66675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21</xdr:row>
      <xdr:rowOff>152400</xdr:rowOff>
    </xdr:from>
    <xdr:to>
      <xdr:col>30</xdr:col>
      <xdr:colOff>0</xdr:colOff>
      <xdr:row>42</xdr:row>
      <xdr:rowOff>130175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21</xdr:row>
      <xdr:rowOff>152400</xdr:rowOff>
    </xdr:from>
    <xdr:to>
      <xdr:col>30</xdr:col>
      <xdr:colOff>0</xdr:colOff>
      <xdr:row>42</xdr:row>
      <xdr:rowOff>130175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38105</xdr:colOff>
      <xdr:row>23</xdr:row>
      <xdr:rowOff>38100</xdr:rowOff>
    </xdr:from>
    <xdr:to>
      <xdr:col>30</xdr:col>
      <xdr:colOff>584200</xdr:colOff>
      <xdr:row>39</xdr:row>
      <xdr:rowOff>117229</xdr:rowOff>
    </xdr:to>
    <xdr:graphicFrame macro="">
      <xdr:nvGraphicFramePr>
        <xdr:cNvPr id="2" name="graf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Rocenka\2011\059%20APZ%202011_&#268;R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1\Apz081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1\Apz091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1\Apz101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1\Apz111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1\Apz121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1\nez011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casove%20rady\2011\REKV_nove_hlas_1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1\nez021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1\nez031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1\nez04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05\Apz09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1\nez051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1\nez061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1\nez071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1\nez081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1\nez0911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1\nez1011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1\nez111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1\nez1211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Rocenka\2012\059%20APZ%202012_&#268;R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2\APZ01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1\Apz011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2\APZ0212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2\APZ0312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2\APZ0412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2\APZ0512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2\APZ0612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2\APZ0712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2\APZ0812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2\APZ0912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2\APZ101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2\APZ11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1\Apz021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2\APZ1212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2\nez0112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YROVRAD\APZ%20n&#225;stroje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2\nez0212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2\nez0312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2\nez0412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2\nez0512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2\nez0612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2\nez0712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2\nez081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1\Apz031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2\nez0912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2\nez1012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2\nez1112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2\nez1212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Rocenka\2013\059%20APZ%202013_&#268;R_L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3\APZ0113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3\APZ0213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3\APZ0313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3\APZ0413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3\APZ05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1\Apz0411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3\APZ0613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3\APZ0713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3\APZ0813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3\APZ0913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3\APZ1013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3\APZ1113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3\APZ1213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3\nez0113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casove%20rady\2013\REKV_nove_hlas_13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3\nez02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1\Apz0511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3\nez0313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3\nez0413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3\nez0513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3\nez0613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3\nez0713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3\nez0813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3\nez0913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3\nez1013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3\nez1113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NEZAM\2013\nez12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1\Apz0611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Rocenka\2014\059%20APZ%202014_&#268;R_APP_O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4\APZ0114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4\APZ0214.xlsx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4\APZ0314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4\APZ0414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4\APZ0514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4\APZ0614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4\APZ0714.xlsx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4\APZ0814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4\APZ09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1\Apz0711.xlsx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4\APZ1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R"/>
    </sheetNames>
    <sheetDataSet>
      <sheetData sheetId="0">
        <row r="26">
          <cell r="AH26" t="str">
            <v>VPP</v>
          </cell>
          <cell r="AJ26">
            <v>9830</v>
          </cell>
        </row>
        <row r="27">
          <cell r="AH27" t="str">
            <v>SÚPM vč.SVČ</v>
          </cell>
          <cell r="AJ27">
            <v>9030</v>
          </cell>
        </row>
        <row r="28">
          <cell r="AH28" t="str">
            <v>CHPD a CHPM vč. SVČ</v>
          </cell>
          <cell r="AJ28">
            <v>1405</v>
          </cell>
        </row>
        <row r="29">
          <cell r="AH29" t="str">
            <v>překlenovací přísp.</v>
          </cell>
          <cell r="AJ29">
            <v>345</v>
          </cell>
        </row>
        <row r="30">
          <cell r="AH30" t="str">
            <v>ESF VPP</v>
          </cell>
          <cell r="AJ30">
            <v>11492</v>
          </cell>
        </row>
        <row r="31">
          <cell r="AH31" t="str">
            <v>ESF SÚPM</v>
          </cell>
          <cell r="AJ31">
            <v>4380</v>
          </cell>
        </row>
        <row r="32">
          <cell r="AH32" t="str">
            <v>ESF CP</v>
          </cell>
          <cell r="AJ32">
            <v>643</v>
          </cell>
        </row>
        <row r="33">
          <cell r="AH33" t="str">
            <v>REKV</v>
          </cell>
          <cell r="AJ33">
            <v>45521</v>
          </cell>
        </row>
        <row r="34">
          <cell r="AH34" t="str">
            <v>přísp. na provoz CHD, CHM a CHM-SVČ</v>
          </cell>
          <cell r="AJ34">
            <v>14620</v>
          </cell>
        </row>
        <row r="35">
          <cell r="AH35" t="str">
            <v>přísp. na NPP</v>
          </cell>
          <cell r="AJ35">
            <v>0</v>
          </cell>
        </row>
        <row r="36">
          <cell r="AH36" t="str">
            <v>přísp. na zapracování</v>
          </cell>
          <cell r="AJ36">
            <v>44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APZ"/>
      <sheetName val="NUTS2"/>
    </sheetNames>
    <sheetDataSet>
      <sheetData sheetId="0">
        <row r="101">
          <cell r="E101">
            <v>7096</v>
          </cell>
          <cell r="F101">
            <v>8622</v>
          </cell>
          <cell r="J101">
            <v>6675</v>
          </cell>
          <cell r="K101">
            <v>9063</v>
          </cell>
          <cell r="T101">
            <v>466</v>
          </cell>
          <cell r="U101">
            <v>100</v>
          </cell>
          <cell r="Y101">
            <v>400</v>
          </cell>
          <cell r="Z101">
            <v>206</v>
          </cell>
          <cell r="AI101">
            <v>3783</v>
          </cell>
          <cell r="AJ101">
            <v>4447</v>
          </cell>
          <cell r="AN101">
            <v>3564</v>
          </cell>
          <cell r="AO101">
            <v>4263</v>
          </cell>
          <cell r="AX101">
            <v>4515</v>
          </cell>
          <cell r="AY101">
            <v>1788</v>
          </cell>
          <cell r="BH101">
            <v>1359</v>
          </cell>
          <cell r="BI101">
            <v>272</v>
          </cell>
          <cell r="BM101">
            <v>1169</v>
          </cell>
          <cell r="BN101">
            <v>538</v>
          </cell>
          <cell r="BW101">
            <v>1001</v>
          </cell>
          <cell r="BX101">
            <v>249</v>
          </cell>
          <cell r="CB101">
            <v>926</v>
          </cell>
          <cell r="CC101">
            <v>447</v>
          </cell>
          <cell r="CL101">
            <v>94</v>
          </cell>
          <cell r="CM101">
            <v>31</v>
          </cell>
          <cell r="CQ101">
            <v>8804</v>
          </cell>
          <cell r="CR101">
            <v>8317</v>
          </cell>
          <cell r="DA101">
            <v>0</v>
          </cell>
          <cell r="DB101">
            <v>0</v>
          </cell>
          <cell r="DF101">
            <v>190</v>
          </cell>
          <cell r="DG101">
            <v>250</v>
          </cell>
          <cell r="DP101">
            <v>18</v>
          </cell>
          <cell r="DQ101">
            <v>36</v>
          </cell>
          <cell r="FI101">
            <v>4364</v>
          </cell>
          <cell r="FJ101">
            <v>6497</v>
          </cell>
          <cell r="FX101">
            <v>93</v>
          </cell>
          <cell r="FY101">
            <v>4380</v>
          </cell>
          <cell r="GM101">
            <v>438</v>
          </cell>
          <cell r="GN101">
            <v>476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APZ"/>
      <sheetName val="NUTS2"/>
    </sheetNames>
    <sheetDataSet>
      <sheetData sheetId="0">
        <row r="101">
          <cell r="E101">
            <v>6237</v>
          </cell>
          <cell r="F101">
            <v>8776</v>
          </cell>
          <cell r="J101">
            <v>5779</v>
          </cell>
          <cell r="K101">
            <v>9305</v>
          </cell>
          <cell r="T101">
            <v>463</v>
          </cell>
          <cell r="U101">
            <v>126</v>
          </cell>
          <cell r="Y101">
            <v>376</v>
          </cell>
          <cell r="Z101">
            <v>218</v>
          </cell>
          <cell r="AI101">
            <v>3619</v>
          </cell>
          <cell r="AJ101">
            <v>5031</v>
          </cell>
          <cell r="AN101">
            <v>3384</v>
          </cell>
          <cell r="AO101">
            <v>4818</v>
          </cell>
          <cell r="AX101">
            <v>4422</v>
          </cell>
          <cell r="AY101">
            <v>1944</v>
          </cell>
          <cell r="BH101">
            <v>1293</v>
          </cell>
          <cell r="BI101">
            <v>287</v>
          </cell>
          <cell r="BM101">
            <v>1106</v>
          </cell>
          <cell r="BN101">
            <v>603</v>
          </cell>
          <cell r="BW101">
            <v>948</v>
          </cell>
          <cell r="BX101">
            <v>282</v>
          </cell>
          <cell r="CB101">
            <v>864</v>
          </cell>
          <cell r="CC101">
            <v>492</v>
          </cell>
          <cell r="CL101">
            <v>93</v>
          </cell>
          <cell r="CM101">
            <v>34</v>
          </cell>
          <cell r="CQ101">
            <v>9200</v>
          </cell>
          <cell r="CR101">
            <v>8714</v>
          </cell>
          <cell r="DA101">
            <v>0</v>
          </cell>
          <cell r="DB101">
            <v>0</v>
          </cell>
          <cell r="DF101">
            <v>191</v>
          </cell>
          <cell r="DG101">
            <v>283</v>
          </cell>
          <cell r="DP101">
            <v>20</v>
          </cell>
          <cell r="DQ101">
            <v>41</v>
          </cell>
          <cell r="FI101">
            <v>5875</v>
          </cell>
          <cell r="FJ101">
            <v>8322</v>
          </cell>
          <cell r="FX101">
            <v>1</v>
          </cell>
          <cell r="FY101">
            <v>4380</v>
          </cell>
          <cell r="GM101">
            <v>450</v>
          </cell>
          <cell r="GN101">
            <v>550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APZ"/>
      <sheetName val="NUTS2"/>
    </sheetNames>
    <sheetDataSet>
      <sheetData sheetId="0">
        <row r="101">
          <cell r="E101">
            <v>4898</v>
          </cell>
          <cell r="F101">
            <v>8956</v>
          </cell>
          <cell r="J101">
            <v>4406</v>
          </cell>
          <cell r="K101">
            <v>9528</v>
          </cell>
          <cell r="T101">
            <v>448</v>
          </cell>
          <cell r="U101">
            <v>136</v>
          </cell>
          <cell r="Y101">
            <v>387</v>
          </cell>
          <cell r="Z101">
            <v>260</v>
          </cell>
          <cell r="AI101">
            <v>3378</v>
          </cell>
          <cell r="AJ101">
            <v>5599</v>
          </cell>
          <cell r="AN101">
            <v>3160</v>
          </cell>
          <cell r="AO101">
            <v>5376</v>
          </cell>
          <cell r="AX101">
            <v>4293</v>
          </cell>
          <cell r="AY101">
            <v>2100</v>
          </cell>
          <cell r="BH101">
            <v>1233</v>
          </cell>
          <cell r="BI101">
            <v>331</v>
          </cell>
          <cell r="BM101">
            <v>1047</v>
          </cell>
          <cell r="BN101">
            <v>674</v>
          </cell>
          <cell r="BW101">
            <v>924</v>
          </cell>
          <cell r="BX101">
            <v>311</v>
          </cell>
          <cell r="CB101">
            <v>832</v>
          </cell>
          <cell r="CC101">
            <v>523</v>
          </cell>
          <cell r="CL101">
            <v>92</v>
          </cell>
          <cell r="CM101">
            <v>38</v>
          </cell>
          <cell r="CQ101">
            <v>9511</v>
          </cell>
          <cell r="CR101">
            <v>9028</v>
          </cell>
          <cell r="DA101">
            <v>0</v>
          </cell>
          <cell r="DB101">
            <v>0</v>
          </cell>
          <cell r="DF101">
            <v>185</v>
          </cell>
          <cell r="DG101">
            <v>310</v>
          </cell>
          <cell r="DP101">
            <v>5</v>
          </cell>
          <cell r="DQ101">
            <v>42</v>
          </cell>
          <cell r="FI101">
            <v>6237</v>
          </cell>
          <cell r="FJ101">
            <v>9674</v>
          </cell>
          <cell r="FX101">
            <v>1</v>
          </cell>
          <cell r="FY101">
            <v>4380</v>
          </cell>
          <cell r="GM101">
            <v>399</v>
          </cell>
          <cell r="GN101">
            <v>583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APZ"/>
      <sheetName val="NUTS2"/>
    </sheetNames>
    <sheetDataSet>
      <sheetData sheetId="0">
        <row r="101">
          <cell r="E101">
            <v>3493</v>
          </cell>
          <cell r="F101">
            <v>9087</v>
          </cell>
          <cell r="J101">
            <v>3098</v>
          </cell>
          <cell r="K101">
            <v>9762</v>
          </cell>
          <cell r="T101">
            <v>456</v>
          </cell>
          <cell r="U101">
            <v>175</v>
          </cell>
          <cell r="Y101">
            <v>376</v>
          </cell>
          <cell r="Z101">
            <v>285</v>
          </cell>
          <cell r="AI101">
            <v>2795</v>
          </cell>
          <cell r="AJ101">
            <v>6097</v>
          </cell>
          <cell r="AN101">
            <v>2603</v>
          </cell>
          <cell r="AO101">
            <v>5865</v>
          </cell>
          <cell r="AX101">
            <v>4262</v>
          </cell>
          <cell r="AY101">
            <v>2313</v>
          </cell>
          <cell r="BH101">
            <v>1187</v>
          </cell>
          <cell r="BI101">
            <v>358</v>
          </cell>
          <cell r="BM101">
            <v>998</v>
          </cell>
          <cell r="BN101">
            <v>731</v>
          </cell>
          <cell r="BW101">
            <v>930</v>
          </cell>
          <cell r="BX101">
            <v>344</v>
          </cell>
          <cell r="CB101">
            <v>843</v>
          </cell>
          <cell r="CC101">
            <v>570</v>
          </cell>
          <cell r="CL101">
            <v>91</v>
          </cell>
          <cell r="CM101">
            <v>41</v>
          </cell>
          <cell r="CQ101">
            <v>9766</v>
          </cell>
          <cell r="CR101">
            <v>9293</v>
          </cell>
          <cell r="DA101">
            <v>0</v>
          </cell>
          <cell r="DB101">
            <v>0</v>
          </cell>
          <cell r="DF101">
            <v>163</v>
          </cell>
          <cell r="DG101">
            <v>328</v>
          </cell>
          <cell r="DP101">
            <v>3</v>
          </cell>
          <cell r="DQ101">
            <v>42</v>
          </cell>
          <cell r="FI101">
            <v>6603</v>
          </cell>
          <cell r="FJ101">
            <v>10771</v>
          </cell>
          <cell r="FX101">
            <v>1</v>
          </cell>
          <cell r="FY101">
            <v>4380</v>
          </cell>
          <cell r="GM101">
            <v>384</v>
          </cell>
          <cell r="GN101">
            <v>619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APZ"/>
      <sheetName val="NUTS2"/>
    </sheetNames>
    <sheetDataSet>
      <sheetData sheetId="0">
        <row r="101">
          <cell r="E101">
            <v>1689</v>
          </cell>
          <cell r="F101">
            <v>9139</v>
          </cell>
          <cell r="J101">
            <v>1478</v>
          </cell>
          <cell r="K101">
            <v>9830</v>
          </cell>
          <cell r="T101">
            <v>461</v>
          </cell>
          <cell r="U101">
            <v>200</v>
          </cell>
          <cell r="Y101">
            <v>392</v>
          </cell>
          <cell r="Z101">
            <v>333</v>
          </cell>
          <cell r="AI101">
            <v>2476</v>
          </cell>
          <cell r="AJ101">
            <v>6567</v>
          </cell>
          <cell r="AN101">
            <v>2283</v>
          </cell>
          <cell r="AO101">
            <v>6287</v>
          </cell>
          <cell r="AX101">
            <v>4072</v>
          </cell>
          <cell r="AY101">
            <v>2410</v>
          </cell>
          <cell r="BH101">
            <v>1133</v>
          </cell>
          <cell r="BI101">
            <v>364</v>
          </cell>
          <cell r="BM101">
            <v>967</v>
          </cell>
          <cell r="BN101">
            <v>764</v>
          </cell>
          <cell r="BW101">
            <v>925</v>
          </cell>
          <cell r="BX101">
            <v>362</v>
          </cell>
          <cell r="CB101">
            <v>833</v>
          </cell>
          <cell r="CC101">
            <v>598</v>
          </cell>
          <cell r="CL101">
            <v>90</v>
          </cell>
          <cell r="CM101">
            <v>43</v>
          </cell>
          <cell r="CQ101">
            <v>14625</v>
          </cell>
          <cell r="CR101">
            <v>14620</v>
          </cell>
          <cell r="DA101">
            <v>0</v>
          </cell>
          <cell r="DB101">
            <v>0</v>
          </cell>
          <cell r="DF101">
            <v>124</v>
          </cell>
          <cell r="DG101">
            <v>345</v>
          </cell>
          <cell r="DP101">
            <v>3</v>
          </cell>
          <cell r="DQ101">
            <v>44</v>
          </cell>
          <cell r="FI101">
            <v>5866</v>
          </cell>
          <cell r="FJ101">
            <v>11492</v>
          </cell>
          <cell r="FX101">
            <v>0</v>
          </cell>
          <cell r="FY101">
            <v>4380</v>
          </cell>
          <cell r="GM101">
            <v>348</v>
          </cell>
          <cell r="GN101">
            <v>643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ok"/>
      <sheetName val="NUTS2"/>
      <sheetName val="NUTS3"/>
      <sheetName val="nedosazitelni"/>
      <sheetName val="nedosazitelni Nuts3"/>
    </sheetNames>
    <sheetDataSet>
      <sheetData sheetId="0">
        <row r="11">
          <cell r="P11">
            <v>33663</v>
          </cell>
        </row>
      </sheetData>
      <sheetData sheetId="1">
        <row r="39">
          <cell r="EN39">
            <v>8.6634856848211808</v>
          </cell>
        </row>
      </sheetData>
      <sheetData sheetId="2">
        <row r="24">
          <cell r="EN24">
            <v>7.878515631166751</v>
          </cell>
        </row>
        <row r="101">
          <cell r="CS101">
            <v>3707</v>
          </cell>
        </row>
      </sheetData>
      <sheetData sheetId="3"/>
      <sheetData sheetId="4">
        <row r="101">
          <cell r="C101">
            <v>16730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REKV01"/>
      <sheetName val="NUTS3"/>
      <sheetName val="kraje"/>
      <sheetName val="nuts2"/>
    </sheetNames>
    <sheetDataSet>
      <sheetData sheetId="0"/>
      <sheetData sheetId="1">
        <row r="101">
          <cell r="B101">
            <v>2666</v>
          </cell>
          <cell r="C101">
            <v>4916</v>
          </cell>
          <cell r="D101">
            <v>7252</v>
          </cell>
          <cell r="E101">
            <v>5597</v>
          </cell>
          <cell r="F101">
            <v>7205</v>
          </cell>
          <cell r="G101">
            <v>3910</v>
          </cell>
          <cell r="H101">
            <v>1230</v>
          </cell>
          <cell r="I101">
            <v>1367</v>
          </cell>
          <cell r="J101">
            <v>3039</v>
          </cell>
          <cell r="K101">
            <v>4112</v>
          </cell>
          <cell r="L101">
            <v>3428</v>
          </cell>
          <cell r="M101">
            <v>799</v>
          </cell>
        </row>
      </sheetData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ok"/>
      <sheetName val="NUTS2"/>
      <sheetName val="NUTS3"/>
      <sheetName val="nedosazitelni"/>
      <sheetName val="nedosazitelni Nuts3"/>
    </sheetNames>
    <sheetDataSet>
      <sheetData sheetId="0">
        <row r="11">
          <cell r="P11">
            <v>33814</v>
          </cell>
        </row>
      </sheetData>
      <sheetData sheetId="1">
        <row r="39">
          <cell r="EN39">
            <v>8.5125994563836898</v>
          </cell>
        </row>
      </sheetData>
      <sheetData sheetId="2">
        <row r="24">
          <cell r="EN24">
            <v>7.7796323378507743</v>
          </cell>
        </row>
        <row r="101">
          <cell r="CS101">
            <v>6102</v>
          </cell>
        </row>
      </sheetData>
      <sheetData sheetId="3"/>
      <sheetData sheetId="4">
        <row r="101">
          <cell r="C101">
            <v>18164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ok"/>
      <sheetName val="NUTS2"/>
      <sheetName val="NUTS3"/>
      <sheetName val="nedosazitelni"/>
      <sheetName val="nedosazitelni Nuts3"/>
    </sheetNames>
    <sheetDataSet>
      <sheetData sheetId="0">
        <row r="11">
          <cell r="P11">
            <v>33713</v>
          </cell>
        </row>
      </sheetData>
      <sheetData sheetId="1">
        <row r="39">
          <cell r="EN39">
            <v>7.9986432407684855</v>
          </cell>
        </row>
      </sheetData>
      <sheetData sheetId="2">
        <row r="24">
          <cell r="EN24">
            <v>7.5182876685787932</v>
          </cell>
        </row>
        <row r="101">
          <cell r="CS101">
            <v>8670</v>
          </cell>
        </row>
      </sheetData>
      <sheetData sheetId="3"/>
      <sheetData sheetId="4">
        <row r="101">
          <cell r="C101">
            <v>22262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ok"/>
      <sheetName val="NUTS2"/>
      <sheetName val="NUTS3"/>
      <sheetName val="nedosazitelni"/>
      <sheetName val="nedosazitelni Nuts3"/>
    </sheetNames>
    <sheetDataSet>
      <sheetData sheetId="0">
        <row r="11">
          <cell r="P11">
            <v>33104</v>
          </cell>
        </row>
      </sheetData>
      <sheetData sheetId="1">
        <row r="39">
          <cell r="EN39">
            <v>7.251906080951934</v>
          </cell>
        </row>
      </sheetData>
      <sheetData sheetId="2">
        <row r="24">
          <cell r="EN24">
            <v>7.0474301466017515</v>
          </cell>
        </row>
        <row r="101">
          <cell r="CS101">
            <v>7941</v>
          </cell>
        </row>
      </sheetData>
      <sheetData sheetId="3"/>
      <sheetData sheetId="4">
        <row r="101">
          <cell r="C101">
            <v>21515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APZ"/>
      <sheetName val="NUTS2"/>
      <sheetName val="NUTS"/>
    </sheetNames>
    <sheetDataSet>
      <sheetData sheetId="0">
        <row r="101">
          <cell r="A101" t="str">
            <v>Celkem ČR</v>
          </cell>
        </row>
      </sheetData>
      <sheetData sheetId="1"/>
      <sheetData sheetId="2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ok"/>
      <sheetName val="NUTS2"/>
      <sheetName val="NUTS3"/>
      <sheetName val="nedosazitelni"/>
      <sheetName val="nedosazitelni Nuts3"/>
    </sheetNames>
    <sheetDataSet>
      <sheetData sheetId="0">
        <row r="11">
          <cell r="P11">
            <v>32295</v>
          </cell>
        </row>
      </sheetData>
      <sheetData sheetId="1">
        <row r="39">
          <cell r="EN39">
            <v>6.7446291447589983</v>
          </cell>
        </row>
      </sheetData>
      <sheetData sheetId="2">
        <row r="24">
          <cell r="EN24">
            <v>6.7926383313779759</v>
          </cell>
        </row>
        <row r="101">
          <cell r="CS101">
            <v>8602</v>
          </cell>
        </row>
      </sheetData>
      <sheetData sheetId="3"/>
      <sheetData sheetId="4">
        <row r="101">
          <cell r="C101">
            <v>22182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ok"/>
      <sheetName val="NUTS2"/>
      <sheetName val="NUTS3"/>
      <sheetName val="nedosazitelni"/>
      <sheetName val="nedosazitelni Nuts3"/>
    </sheetNames>
    <sheetDataSet>
      <sheetData sheetId="0">
        <row r="11">
          <cell r="P11">
            <v>32101</v>
          </cell>
        </row>
      </sheetData>
      <sheetData sheetId="1">
        <row r="39">
          <cell r="EN39">
            <v>6.6351034426264315</v>
          </cell>
        </row>
      </sheetData>
      <sheetData sheetId="2">
        <row r="11">
          <cell r="CS11">
            <v>89</v>
          </cell>
        </row>
        <row r="101">
          <cell r="CS101">
            <v>4216</v>
          </cell>
        </row>
      </sheetData>
      <sheetData sheetId="3"/>
      <sheetData sheetId="4">
        <row r="101">
          <cell r="C101">
            <v>18454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ok"/>
      <sheetName val="NUTS2"/>
      <sheetName val="NUTS3"/>
      <sheetName val="nedosazitelni"/>
      <sheetName val="nedosazitelni Nuts3"/>
    </sheetNames>
    <sheetDataSet>
      <sheetData sheetId="0">
        <row r="11">
          <cell r="P11">
            <v>33084</v>
          </cell>
        </row>
      </sheetData>
      <sheetData sheetId="1">
        <row r="39">
          <cell r="EN39">
            <v>6.7713697997057967</v>
          </cell>
        </row>
      </sheetData>
      <sheetData sheetId="2">
        <row r="11">
          <cell r="C11">
            <v>785047</v>
          </cell>
        </row>
        <row r="101">
          <cell r="CS101">
            <v>2007</v>
          </cell>
        </row>
      </sheetData>
      <sheetData sheetId="3"/>
      <sheetData sheetId="4">
        <row r="101">
          <cell r="C101">
            <v>15721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ok"/>
      <sheetName val="NUTS2"/>
      <sheetName val="NUTS3"/>
      <sheetName val="nedosazitelni"/>
      <sheetName val="nedosazitelni Nuts3"/>
    </sheetNames>
    <sheetDataSet>
      <sheetData sheetId="0">
        <row r="11">
          <cell r="P11">
            <v>33406</v>
          </cell>
        </row>
      </sheetData>
      <sheetData sheetId="1">
        <row r="39">
          <cell r="EN39">
            <v>6.6343868085530557</v>
          </cell>
        </row>
      </sheetData>
      <sheetData sheetId="2">
        <row r="11">
          <cell r="C11">
            <v>785047</v>
          </cell>
        </row>
        <row r="101">
          <cell r="CS101">
            <v>1864</v>
          </cell>
        </row>
      </sheetData>
      <sheetData sheetId="3"/>
      <sheetData sheetId="4">
        <row r="101">
          <cell r="C101">
            <v>15567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ok"/>
      <sheetName val="NUTS2"/>
      <sheetName val="NUTS3"/>
      <sheetName val="nedosazitelni"/>
      <sheetName val="nedosazitelni Nuts3"/>
    </sheetNames>
    <sheetDataSet>
      <sheetData sheetId="0">
        <row r="11">
          <cell r="P11">
            <v>32904</v>
          </cell>
        </row>
      </sheetData>
      <sheetData sheetId="1">
        <row r="39">
          <cell r="EN39">
            <v>6.4496787620483111</v>
          </cell>
        </row>
      </sheetData>
      <sheetData sheetId="2">
        <row r="11">
          <cell r="C11">
            <v>785047</v>
          </cell>
        </row>
        <row r="101">
          <cell r="CS101">
            <v>3290</v>
          </cell>
        </row>
      </sheetData>
      <sheetData sheetId="3"/>
      <sheetData sheetId="4">
        <row r="101">
          <cell r="C101">
            <v>16959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ok"/>
      <sheetName val="NUTS2"/>
      <sheetName val="NUTS3"/>
      <sheetName val="nedosazitelni"/>
      <sheetName val="nedosazitelni Nuts3"/>
    </sheetNames>
    <sheetDataSet>
      <sheetData sheetId="0">
        <row r="11">
          <cell r="P11">
            <v>32786</v>
          </cell>
        </row>
      </sheetData>
      <sheetData sheetId="1">
        <row r="39">
          <cell r="EN39">
            <v>6.3852335153430086</v>
          </cell>
        </row>
      </sheetData>
      <sheetData sheetId="2">
        <row r="11">
          <cell r="C11">
            <v>785539</v>
          </cell>
        </row>
        <row r="101">
          <cell r="CS101">
            <v>5097</v>
          </cell>
        </row>
      </sheetData>
      <sheetData sheetId="3"/>
      <sheetData sheetId="4">
        <row r="101">
          <cell r="C101">
            <v>18650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ok"/>
      <sheetName val="NUTS2"/>
      <sheetName val="NUTS3"/>
      <sheetName val="nedosazitelni"/>
      <sheetName val="nedosazitelni Nuts3"/>
    </sheetNames>
    <sheetDataSet>
      <sheetData sheetId="0">
        <row r="11">
          <cell r="P11">
            <v>32698</v>
          </cell>
        </row>
      </sheetData>
      <sheetData sheetId="1"/>
      <sheetData sheetId="2">
        <row r="101">
          <cell r="D101">
            <v>470618</v>
          </cell>
          <cell r="CS101">
            <v>4968</v>
          </cell>
        </row>
      </sheetData>
      <sheetData sheetId="3"/>
      <sheetData sheetId="4">
        <row r="101">
          <cell r="C101">
            <v>19572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ok"/>
      <sheetName val="NUTS2"/>
      <sheetName val="NUTS3"/>
      <sheetName val="nedosazitelni"/>
      <sheetName val="nedosazitelni Nuts3"/>
    </sheetNames>
    <sheetDataSet>
      <sheetData sheetId="0">
        <row r="11">
          <cell r="P11">
            <v>32580</v>
          </cell>
        </row>
      </sheetData>
      <sheetData sheetId="1"/>
      <sheetData sheetId="2">
        <row r="101">
          <cell r="D101">
            <v>476404</v>
          </cell>
          <cell r="CS101">
            <v>1647</v>
          </cell>
        </row>
      </sheetData>
      <sheetData sheetId="3"/>
      <sheetData sheetId="4">
        <row r="101">
          <cell r="C101">
            <v>16493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R"/>
    </sheetNames>
    <sheetDataSet>
      <sheetData sheetId="0">
        <row r="26">
          <cell r="AH26" t="str">
            <v>VPP</v>
          </cell>
          <cell r="AJ26">
            <v>5279</v>
          </cell>
        </row>
        <row r="27">
          <cell r="AH27" t="str">
            <v>SÚPM vč.SVČ</v>
          </cell>
          <cell r="AJ27">
            <v>7933</v>
          </cell>
        </row>
        <row r="28">
          <cell r="AH28" t="str">
            <v>CHPM vč. SVČ</v>
          </cell>
          <cell r="AJ28">
            <v>817</v>
          </cell>
        </row>
        <row r="29">
          <cell r="AH29" t="str">
            <v>ESF VPP</v>
          </cell>
          <cell r="AJ29">
            <v>7554</v>
          </cell>
        </row>
        <row r="30">
          <cell r="AH30" t="str">
            <v>ESF SÚPM</v>
          </cell>
          <cell r="AJ30">
            <v>3447</v>
          </cell>
        </row>
        <row r="31">
          <cell r="AH31" t="str">
            <v>ESF CP</v>
          </cell>
          <cell r="AJ31">
            <v>522</v>
          </cell>
        </row>
        <row r="32">
          <cell r="AH32" t="str">
            <v>REKV</v>
          </cell>
          <cell r="AJ32">
            <v>18631</v>
          </cell>
        </row>
        <row r="33">
          <cell r="AH33" t="str">
            <v>Zvolená rekv.</v>
          </cell>
          <cell r="AJ33">
            <v>6568</v>
          </cell>
        </row>
        <row r="34">
          <cell r="AH34" t="str">
            <v>přísp. na provoz CHPM a CHPM-SVČ</v>
          </cell>
          <cell r="AJ34">
            <v>1514</v>
          </cell>
        </row>
        <row r="35">
          <cell r="AH35" t="str">
            <v>přísp. na zapracování</v>
          </cell>
          <cell r="AJ35">
            <v>13</v>
          </cell>
        </row>
        <row r="36">
          <cell r="AH36" t="str">
            <v>překlenovací přísp.</v>
          </cell>
          <cell r="AJ36">
            <v>130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</sheetNames>
    <sheetDataSet>
      <sheetData sheetId="0">
        <row r="101">
          <cell r="E101">
            <v>962</v>
          </cell>
          <cell r="F101">
            <v>13</v>
          </cell>
          <cell r="J101">
            <v>825</v>
          </cell>
          <cell r="K101">
            <v>29</v>
          </cell>
          <cell r="T101">
            <v>432</v>
          </cell>
          <cell r="U101">
            <v>0</v>
          </cell>
          <cell r="Y101">
            <v>371</v>
          </cell>
          <cell r="Z101">
            <v>15</v>
          </cell>
          <cell r="AI101">
            <v>2108</v>
          </cell>
          <cell r="AJ101">
            <v>115</v>
          </cell>
          <cell r="AN101">
            <v>1994</v>
          </cell>
          <cell r="AO101">
            <v>175</v>
          </cell>
          <cell r="AX101">
            <v>3947</v>
          </cell>
          <cell r="AY101">
            <v>8</v>
          </cell>
          <cell r="BH101">
            <v>1017</v>
          </cell>
          <cell r="BI101">
            <v>0</v>
          </cell>
          <cell r="BM101">
            <v>814</v>
          </cell>
          <cell r="BN101">
            <v>21</v>
          </cell>
          <cell r="BW101">
            <v>890</v>
          </cell>
          <cell r="BX101">
            <v>0</v>
          </cell>
          <cell r="CB101">
            <v>800</v>
          </cell>
          <cell r="CC101">
            <v>33</v>
          </cell>
          <cell r="CL101">
            <v>90</v>
          </cell>
          <cell r="CM101">
            <v>0</v>
          </cell>
          <cell r="CQ101">
            <v>9316</v>
          </cell>
          <cell r="CR101">
            <v>1158</v>
          </cell>
          <cell r="DF101">
            <v>66</v>
          </cell>
          <cell r="DG101">
            <v>1</v>
          </cell>
          <cell r="DP101">
            <v>3</v>
          </cell>
          <cell r="DQ101">
            <v>0</v>
          </cell>
          <cell r="EE101">
            <v>5028</v>
          </cell>
          <cell r="EF101">
            <v>230</v>
          </cell>
          <cell r="ET101">
            <v>0</v>
          </cell>
          <cell r="EU101">
            <v>0</v>
          </cell>
          <cell r="FI101">
            <v>331</v>
          </cell>
          <cell r="FJ101">
            <v>8</v>
          </cell>
          <cell r="FS101">
            <v>0</v>
          </cell>
          <cell r="FT101">
            <v>0</v>
          </cell>
          <cell r="GG101">
            <v>10</v>
          </cell>
          <cell r="GH101">
            <v>10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APZ"/>
      <sheetName val="NUTS2"/>
    </sheetNames>
    <sheetDataSet>
      <sheetData sheetId="0">
        <row r="101">
          <cell r="E101">
            <v>2229</v>
          </cell>
          <cell r="F101">
            <v>108</v>
          </cell>
          <cell r="J101">
            <v>1949</v>
          </cell>
          <cell r="K101">
            <v>106</v>
          </cell>
          <cell r="T101">
            <v>563</v>
          </cell>
          <cell r="U101">
            <v>7</v>
          </cell>
          <cell r="Y101">
            <v>480</v>
          </cell>
          <cell r="Z101">
            <v>50</v>
          </cell>
          <cell r="AI101">
            <v>5020</v>
          </cell>
          <cell r="AJ101">
            <v>122</v>
          </cell>
          <cell r="AN101">
            <v>4805</v>
          </cell>
          <cell r="AO101">
            <v>116</v>
          </cell>
          <cell r="AX101">
            <v>4463</v>
          </cell>
          <cell r="AY101">
            <v>66</v>
          </cell>
          <cell r="BH101">
            <v>1320</v>
          </cell>
          <cell r="BI101">
            <v>5</v>
          </cell>
          <cell r="BM101">
            <v>1160</v>
          </cell>
          <cell r="BN101">
            <v>82</v>
          </cell>
          <cell r="BW101">
            <v>911</v>
          </cell>
          <cell r="BX101">
            <v>6</v>
          </cell>
          <cell r="CB101">
            <v>829</v>
          </cell>
          <cell r="CC101">
            <v>38</v>
          </cell>
          <cell r="CL101">
            <v>91</v>
          </cell>
          <cell r="CM101">
            <v>1</v>
          </cell>
          <cell r="CQ101">
            <v>2629</v>
          </cell>
          <cell r="CR101">
            <v>1125</v>
          </cell>
          <cell r="DA101">
            <v>0</v>
          </cell>
          <cell r="DB101">
            <v>0</v>
          </cell>
          <cell r="DF101">
            <v>2</v>
          </cell>
          <cell r="DG101">
            <v>2</v>
          </cell>
          <cell r="DP101">
            <v>19</v>
          </cell>
          <cell r="DQ101">
            <v>3</v>
          </cell>
          <cell r="FI101">
            <v>3945</v>
          </cell>
          <cell r="FJ101">
            <v>485</v>
          </cell>
          <cell r="FX101">
            <v>3676</v>
          </cell>
          <cell r="FY101">
            <v>1193</v>
          </cell>
          <cell r="GM101">
            <v>276</v>
          </cell>
          <cell r="GN101">
            <v>47</v>
          </cell>
        </row>
      </sheetData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</sheetNames>
    <sheetDataSet>
      <sheetData sheetId="0">
        <row r="101">
          <cell r="E101">
            <v>1368</v>
          </cell>
          <cell r="F101">
            <v>567</v>
          </cell>
          <cell r="J101">
            <v>760</v>
          </cell>
          <cell r="K101">
            <v>113</v>
          </cell>
          <cell r="T101">
            <v>411</v>
          </cell>
          <cell r="U101">
            <v>3</v>
          </cell>
          <cell r="Y101">
            <v>359</v>
          </cell>
          <cell r="Z101">
            <v>27</v>
          </cell>
          <cell r="AI101">
            <v>1997</v>
          </cell>
          <cell r="AJ101">
            <v>380</v>
          </cell>
          <cell r="AN101">
            <v>1808</v>
          </cell>
          <cell r="AO101">
            <v>343</v>
          </cell>
          <cell r="AX101">
            <v>3809</v>
          </cell>
          <cell r="AY101">
            <v>52</v>
          </cell>
          <cell r="BH101">
            <v>989</v>
          </cell>
          <cell r="BI101">
            <v>0</v>
          </cell>
          <cell r="BM101">
            <v>800</v>
          </cell>
          <cell r="BN101">
            <v>38</v>
          </cell>
          <cell r="BW101">
            <v>892</v>
          </cell>
          <cell r="BX101">
            <v>32</v>
          </cell>
          <cell r="CB101">
            <v>791</v>
          </cell>
          <cell r="CC101">
            <v>50</v>
          </cell>
          <cell r="CL101">
            <v>92</v>
          </cell>
          <cell r="CM101">
            <v>4</v>
          </cell>
          <cell r="CQ101">
            <v>9439</v>
          </cell>
          <cell r="CR101">
            <v>1393</v>
          </cell>
          <cell r="DF101">
            <v>52</v>
          </cell>
          <cell r="DG101">
            <v>2</v>
          </cell>
          <cell r="DP101">
            <v>2</v>
          </cell>
          <cell r="DQ101">
            <v>0</v>
          </cell>
          <cell r="EE101">
            <v>4555</v>
          </cell>
          <cell r="EF101">
            <v>341</v>
          </cell>
          <cell r="ET101">
            <v>0</v>
          </cell>
          <cell r="EU101">
            <v>0</v>
          </cell>
          <cell r="FI101">
            <v>343</v>
          </cell>
          <cell r="FJ101">
            <v>85</v>
          </cell>
          <cell r="FS101">
            <v>32</v>
          </cell>
          <cell r="FT101">
            <v>32</v>
          </cell>
          <cell r="GG101">
            <v>198</v>
          </cell>
          <cell r="GH101">
            <v>206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</sheetNames>
    <sheetDataSet>
      <sheetData sheetId="0">
        <row r="101">
          <cell r="C101">
            <v>1456</v>
          </cell>
          <cell r="E101">
            <v>2465</v>
          </cell>
          <cell r="F101">
            <v>2023</v>
          </cell>
          <cell r="J101">
            <v>1471</v>
          </cell>
          <cell r="K101">
            <v>1157</v>
          </cell>
          <cell r="T101">
            <v>423</v>
          </cell>
          <cell r="U101">
            <v>50</v>
          </cell>
          <cell r="Y101">
            <v>376</v>
          </cell>
          <cell r="Z101">
            <v>81</v>
          </cell>
          <cell r="AI101">
            <v>2227</v>
          </cell>
          <cell r="AJ101">
            <v>1266</v>
          </cell>
          <cell r="AN101">
            <v>2027</v>
          </cell>
          <cell r="AO101">
            <v>1191</v>
          </cell>
          <cell r="AX101">
            <v>3789</v>
          </cell>
          <cell r="AY101">
            <v>276</v>
          </cell>
          <cell r="BH101">
            <v>938</v>
          </cell>
          <cell r="BI101">
            <v>0</v>
          </cell>
          <cell r="BM101">
            <v>756</v>
          </cell>
          <cell r="BN101">
            <v>53</v>
          </cell>
          <cell r="BW101">
            <v>919</v>
          </cell>
          <cell r="BX101">
            <v>84</v>
          </cell>
          <cell r="CB101">
            <v>821</v>
          </cell>
          <cell r="CC101">
            <v>105</v>
          </cell>
          <cell r="CL101">
            <v>87</v>
          </cell>
          <cell r="CM101">
            <v>5</v>
          </cell>
          <cell r="CQ101">
            <v>9320</v>
          </cell>
          <cell r="CR101">
            <v>1404</v>
          </cell>
          <cell r="DF101">
            <v>48</v>
          </cell>
          <cell r="DG101">
            <v>8</v>
          </cell>
          <cell r="DP101">
            <v>3</v>
          </cell>
          <cell r="DQ101">
            <v>1</v>
          </cell>
          <cell r="EE101">
            <v>343</v>
          </cell>
          <cell r="EF101">
            <v>638</v>
          </cell>
          <cell r="ET101">
            <v>80</v>
          </cell>
          <cell r="EU101">
            <v>86</v>
          </cell>
          <cell r="FI101">
            <v>373</v>
          </cell>
          <cell r="FJ101">
            <v>136</v>
          </cell>
          <cell r="FS101">
            <v>60</v>
          </cell>
          <cell r="FT101">
            <v>60</v>
          </cell>
          <cell r="GR101">
            <v>629</v>
          </cell>
          <cell r="GS101">
            <v>727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</sheetNames>
    <sheetDataSet>
      <sheetData sheetId="0">
        <row r="101">
          <cell r="C101">
            <v>805</v>
          </cell>
          <cell r="E101">
            <v>3127</v>
          </cell>
          <cell r="F101">
            <v>2828</v>
          </cell>
          <cell r="J101">
            <v>2653</v>
          </cell>
          <cell r="K101">
            <v>2478</v>
          </cell>
          <cell r="T101">
            <v>431</v>
          </cell>
          <cell r="U101">
            <v>85</v>
          </cell>
          <cell r="Y101">
            <v>379</v>
          </cell>
          <cell r="Z101">
            <v>114</v>
          </cell>
          <cell r="AI101">
            <v>2845</v>
          </cell>
          <cell r="AJ101">
            <v>2172</v>
          </cell>
          <cell r="AN101">
            <v>2710</v>
          </cell>
          <cell r="AO101">
            <v>2145</v>
          </cell>
          <cell r="AX101">
            <v>3717</v>
          </cell>
          <cell r="AY101">
            <v>514</v>
          </cell>
          <cell r="BH101">
            <v>901</v>
          </cell>
          <cell r="BI101">
            <v>2</v>
          </cell>
          <cell r="BM101">
            <v>723</v>
          </cell>
          <cell r="BN101">
            <v>63</v>
          </cell>
          <cell r="BW101">
            <v>922</v>
          </cell>
          <cell r="BX101">
            <v>144</v>
          </cell>
          <cell r="CB101">
            <v>804</v>
          </cell>
          <cell r="CC101">
            <v>156</v>
          </cell>
          <cell r="CL101">
            <v>85</v>
          </cell>
          <cell r="CM101">
            <v>7</v>
          </cell>
          <cell r="CQ101">
            <v>9273</v>
          </cell>
          <cell r="CR101">
            <v>1405</v>
          </cell>
          <cell r="DF101">
            <v>45</v>
          </cell>
          <cell r="DG101">
            <v>20</v>
          </cell>
          <cell r="DP101">
            <v>2</v>
          </cell>
          <cell r="DQ101">
            <v>1</v>
          </cell>
          <cell r="EE101">
            <v>1469</v>
          </cell>
          <cell r="EF101">
            <v>1784</v>
          </cell>
          <cell r="ET101">
            <v>279</v>
          </cell>
          <cell r="EU101">
            <v>294</v>
          </cell>
          <cell r="FI101">
            <v>377</v>
          </cell>
          <cell r="FJ101">
            <v>168</v>
          </cell>
          <cell r="FS101">
            <v>335</v>
          </cell>
          <cell r="FT101">
            <v>335</v>
          </cell>
          <cell r="GR101">
            <v>939</v>
          </cell>
          <cell r="GS101">
            <v>1302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</sheetNames>
    <sheetDataSet>
      <sheetData sheetId="0">
        <row r="101">
          <cell r="C101">
            <v>472</v>
          </cell>
          <cell r="E101">
            <v>3515</v>
          </cell>
          <cell r="F101">
            <v>3300</v>
          </cell>
          <cell r="J101">
            <v>3221</v>
          </cell>
          <cell r="K101">
            <v>3151</v>
          </cell>
          <cell r="T101">
            <v>432</v>
          </cell>
          <cell r="U101">
            <v>96</v>
          </cell>
          <cell r="Y101">
            <v>390</v>
          </cell>
          <cell r="Z101">
            <v>138</v>
          </cell>
          <cell r="AI101">
            <v>3173</v>
          </cell>
          <cell r="AJ101">
            <v>2820</v>
          </cell>
          <cell r="AN101">
            <v>3095</v>
          </cell>
          <cell r="AO101">
            <v>2833</v>
          </cell>
          <cell r="AX101">
            <v>3609</v>
          </cell>
          <cell r="AY101">
            <v>711</v>
          </cell>
          <cell r="BH101">
            <v>852</v>
          </cell>
          <cell r="BI101">
            <v>2</v>
          </cell>
          <cell r="BM101">
            <v>661</v>
          </cell>
          <cell r="BN101">
            <v>71</v>
          </cell>
          <cell r="BW101">
            <v>919</v>
          </cell>
          <cell r="BX101">
            <v>200</v>
          </cell>
          <cell r="CB101">
            <v>812</v>
          </cell>
          <cell r="CC101">
            <v>221</v>
          </cell>
          <cell r="CL101">
            <v>80</v>
          </cell>
          <cell r="CM101">
            <v>7</v>
          </cell>
          <cell r="CQ101">
            <v>9273</v>
          </cell>
          <cell r="CR101">
            <v>1409</v>
          </cell>
          <cell r="DF101">
            <v>48</v>
          </cell>
          <cell r="DG101">
            <v>37</v>
          </cell>
          <cell r="DP101">
            <v>1</v>
          </cell>
          <cell r="DQ101">
            <v>1</v>
          </cell>
          <cell r="EE101">
            <v>2569</v>
          </cell>
          <cell r="EF101">
            <v>2948</v>
          </cell>
          <cell r="ET101">
            <v>533</v>
          </cell>
          <cell r="EU101">
            <v>556</v>
          </cell>
          <cell r="FI101">
            <v>374</v>
          </cell>
          <cell r="FJ101">
            <v>196</v>
          </cell>
          <cell r="FS101">
            <v>1850</v>
          </cell>
          <cell r="FT101">
            <v>1875</v>
          </cell>
          <cell r="GR101">
            <v>1054</v>
          </cell>
          <cell r="GS101">
            <v>1951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</sheetNames>
    <sheetDataSet>
      <sheetData sheetId="0">
        <row r="101">
          <cell r="C101">
            <v>342</v>
          </cell>
          <cell r="E101">
            <v>3488</v>
          </cell>
          <cell r="F101">
            <v>3642</v>
          </cell>
          <cell r="J101">
            <v>3228</v>
          </cell>
          <cell r="K101">
            <v>3561</v>
          </cell>
          <cell r="T101">
            <v>423</v>
          </cell>
          <cell r="U101">
            <v>101</v>
          </cell>
          <cell r="Y101">
            <v>380</v>
          </cell>
          <cell r="Z101">
            <v>143</v>
          </cell>
          <cell r="AI101">
            <v>3570</v>
          </cell>
          <cell r="AJ101">
            <v>3581</v>
          </cell>
          <cell r="AN101">
            <v>3510</v>
          </cell>
          <cell r="AO101">
            <v>3630</v>
          </cell>
          <cell r="AX101">
            <v>3463</v>
          </cell>
          <cell r="AY101">
            <v>905</v>
          </cell>
          <cell r="BH101">
            <v>821</v>
          </cell>
          <cell r="BI101">
            <v>2</v>
          </cell>
          <cell r="BM101">
            <v>631</v>
          </cell>
          <cell r="BN101">
            <v>73</v>
          </cell>
          <cell r="BW101">
            <v>961</v>
          </cell>
          <cell r="BX101">
            <v>282</v>
          </cell>
          <cell r="CB101">
            <v>851</v>
          </cell>
          <cell r="CC101">
            <v>305</v>
          </cell>
          <cell r="CL101">
            <v>82</v>
          </cell>
          <cell r="CM101">
            <v>10</v>
          </cell>
          <cell r="CQ101">
            <v>9274</v>
          </cell>
          <cell r="CR101">
            <v>1410</v>
          </cell>
          <cell r="DF101">
            <v>47</v>
          </cell>
          <cell r="DG101">
            <v>49</v>
          </cell>
          <cell r="DP101">
            <v>2</v>
          </cell>
          <cell r="DQ101">
            <v>2</v>
          </cell>
          <cell r="EE101">
            <v>3190</v>
          </cell>
          <cell r="EF101">
            <v>3612</v>
          </cell>
          <cell r="ET101">
            <v>874</v>
          </cell>
          <cell r="EU101">
            <v>907</v>
          </cell>
          <cell r="FI101">
            <v>385</v>
          </cell>
          <cell r="FJ101">
            <v>227</v>
          </cell>
          <cell r="FS101">
            <v>23971</v>
          </cell>
          <cell r="FT101">
            <v>24008</v>
          </cell>
          <cell r="GR101">
            <v>994</v>
          </cell>
          <cell r="GS101">
            <v>2336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</sheetNames>
    <sheetDataSet>
      <sheetData sheetId="0">
        <row r="101">
          <cell r="C101">
            <v>350</v>
          </cell>
          <cell r="E101">
            <v>3731</v>
          </cell>
          <cell r="F101">
            <v>3992</v>
          </cell>
          <cell r="J101">
            <v>3497</v>
          </cell>
          <cell r="K101">
            <v>3956</v>
          </cell>
          <cell r="T101">
            <v>401</v>
          </cell>
          <cell r="U101">
            <v>101</v>
          </cell>
          <cell r="Y101">
            <v>358</v>
          </cell>
          <cell r="Z101">
            <v>149</v>
          </cell>
          <cell r="AI101">
            <v>3519</v>
          </cell>
          <cell r="AJ101">
            <v>3998</v>
          </cell>
          <cell r="AN101">
            <v>3490</v>
          </cell>
          <cell r="AO101">
            <v>4047</v>
          </cell>
          <cell r="AX101">
            <v>3308</v>
          </cell>
          <cell r="AY101">
            <v>1055</v>
          </cell>
          <cell r="BH101">
            <v>775</v>
          </cell>
          <cell r="BI101">
            <v>2</v>
          </cell>
          <cell r="BM101">
            <v>591</v>
          </cell>
          <cell r="BN101">
            <v>76</v>
          </cell>
          <cell r="BW101">
            <v>975</v>
          </cell>
          <cell r="BX101">
            <v>344</v>
          </cell>
          <cell r="CB101">
            <v>866</v>
          </cell>
          <cell r="CC101">
            <v>370</v>
          </cell>
          <cell r="CL101">
            <v>81</v>
          </cell>
          <cell r="CM101">
            <v>12</v>
          </cell>
          <cell r="CQ101">
            <v>565</v>
          </cell>
          <cell r="CR101">
            <v>1491</v>
          </cell>
          <cell r="DF101">
            <v>61</v>
          </cell>
          <cell r="DG101">
            <v>64</v>
          </cell>
          <cell r="DP101">
            <v>2</v>
          </cell>
          <cell r="DQ101">
            <v>2</v>
          </cell>
          <cell r="EE101">
            <v>4035</v>
          </cell>
          <cell r="EF101">
            <v>4501</v>
          </cell>
          <cell r="ET101">
            <v>1173</v>
          </cell>
          <cell r="EU101">
            <v>1216</v>
          </cell>
          <cell r="FI101">
            <v>334</v>
          </cell>
          <cell r="FJ101">
            <v>320</v>
          </cell>
          <cell r="FS101">
            <v>25725</v>
          </cell>
          <cell r="FT101">
            <v>25772</v>
          </cell>
          <cell r="GR101">
            <v>1027</v>
          </cell>
          <cell r="GS101">
            <v>2720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</sheetNames>
    <sheetDataSet>
      <sheetData sheetId="0">
        <row r="101">
          <cell r="B101">
            <v>3731</v>
          </cell>
          <cell r="E101">
            <v>4037</v>
          </cell>
          <cell r="F101">
            <v>4348</v>
          </cell>
          <cell r="J101">
            <v>3730</v>
          </cell>
          <cell r="K101">
            <v>4273</v>
          </cell>
          <cell r="T101">
            <v>392</v>
          </cell>
          <cell r="U101">
            <v>105</v>
          </cell>
          <cell r="Y101">
            <v>348</v>
          </cell>
          <cell r="Z101">
            <v>152</v>
          </cell>
          <cell r="AI101">
            <v>3565</v>
          </cell>
          <cell r="AJ101">
            <v>4394</v>
          </cell>
          <cell r="AN101">
            <v>3551</v>
          </cell>
          <cell r="AO101">
            <v>4440</v>
          </cell>
          <cell r="AX101">
            <v>3174</v>
          </cell>
          <cell r="AY101">
            <v>1184</v>
          </cell>
          <cell r="BH101">
            <v>705</v>
          </cell>
          <cell r="BI101">
            <v>24</v>
          </cell>
          <cell r="BM101">
            <v>532</v>
          </cell>
          <cell r="BN101">
            <v>90</v>
          </cell>
          <cell r="BW101">
            <v>952</v>
          </cell>
          <cell r="BX101">
            <v>389</v>
          </cell>
          <cell r="CB101">
            <v>888</v>
          </cell>
          <cell r="CC101">
            <v>476</v>
          </cell>
          <cell r="CL101">
            <v>78</v>
          </cell>
          <cell r="CM101">
            <v>14</v>
          </cell>
          <cell r="CQ101">
            <v>354</v>
          </cell>
          <cell r="CR101">
            <v>1495</v>
          </cell>
          <cell r="DF101">
            <v>64</v>
          </cell>
          <cell r="DG101">
            <v>77</v>
          </cell>
          <cell r="DP101">
            <v>3</v>
          </cell>
          <cell r="DQ101">
            <v>3</v>
          </cell>
          <cell r="EE101">
            <v>4478</v>
          </cell>
          <cell r="EF101">
            <v>5017</v>
          </cell>
          <cell r="ET101">
            <v>1410</v>
          </cell>
          <cell r="EU101">
            <v>1495</v>
          </cell>
          <cell r="FI101">
            <v>278</v>
          </cell>
          <cell r="FJ101">
            <v>363</v>
          </cell>
          <cell r="FS101">
            <v>27340</v>
          </cell>
          <cell r="FT101">
            <v>27392</v>
          </cell>
          <cell r="GR101">
            <v>1133</v>
          </cell>
          <cell r="GS101">
            <v>3168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</sheetNames>
    <sheetDataSet>
      <sheetData sheetId="0">
        <row r="101">
          <cell r="B101">
            <v>4037</v>
          </cell>
          <cell r="E101">
            <v>4255</v>
          </cell>
          <cell r="F101">
            <v>4769</v>
          </cell>
          <cell r="J101">
            <v>3988</v>
          </cell>
          <cell r="K101">
            <v>4765</v>
          </cell>
          <cell r="T101">
            <v>390</v>
          </cell>
          <cell r="U101">
            <v>111</v>
          </cell>
          <cell r="Y101">
            <v>345</v>
          </cell>
          <cell r="Z101">
            <v>157</v>
          </cell>
          <cell r="AI101">
            <v>3411</v>
          </cell>
          <cell r="AJ101">
            <v>4792</v>
          </cell>
          <cell r="AN101">
            <v>3411</v>
          </cell>
          <cell r="AO101">
            <v>4852</v>
          </cell>
          <cell r="AX101">
            <v>3043</v>
          </cell>
          <cell r="AY101">
            <v>1332</v>
          </cell>
          <cell r="BH101">
            <v>653</v>
          </cell>
          <cell r="BI101">
            <v>24</v>
          </cell>
          <cell r="BM101">
            <v>496</v>
          </cell>
          <cell r="BN101">
            <v>106</v>
          </cell>
          <cell r="BW101">
            <v>962</v>
          </cell>
          <cell r="BX101">
            <v>431</v>
          </cell>
          <cell r="CB101">
            <v>901</v>
          </cell>
          <cell r="CC101">
            <v>532</v>
          </cell>
          <cell r="CL101">
            <v>73</v>
          </cell>
          <cell r="CM101">
            <v>17</v>
          </cell>
          <cell r="CQ101">
            <v>222</v>
          </cell>
          <cell r="CR101">
            <v>1503</v>
          </cell>
          <cell r="DF101">
            <v>66</v>
          </cell>
          <cell r="DG101">
            <v>85</v>
          </cell>
          <cell r="DP101">
            <v>3</v>
          </cell>
          <cell r="DQ101">
            <v>3</v>
          </cell>
          <cell r="EE101">
            <v>4835</v>
          </cell>
          <cell r="EF101">
            <v>5627</v>
          </cell>
          <cell r="ET101">
            <v>1620</v>
          </cell>
          <cell r="EU101">
            <v>1818</v>
          </cell>
          <cell r="FI101">
            <v>231</v>
          </cell>
          <cell r="FJ101">
            <v>374</v>
          </cell>
          <cell r="FS101">
            <v>28004</v>
          </cell>
          <cell r="FT101">
            <v>28061</v>
          </cell>
          <cell r="GR101">
            <v>1723</v>
          </cell>
          <cell r="GS101">
            <v>4122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</sheetNames>
    <sheetDataSet>
      <sheetData sheetId="0">
        <row r="101">
          <cell r="B101">
            <v>4255</v>
          </cell>
          <cell r="E101">
            <v>4208</v>
          </cell>
          <cell r="F101">
            <v>5013</v>
          </cell>
          <cell r="J101">
            <v>3950</v>
          </cell>
          <cell r="K101">
            <v>5048</v>
          </cell>
          <cell r="T101">
            <v>379</v>
          </cell>
          <cell r="U101">
            <v>124</v>
          </cell>
          <cell r="Y101">
            <v>329</v>
          </cell>
          <cell r="Z101">
            <v>164</v>
          </cell>
          <cell r="AI101">
            <v>2932</v>
          </cell>
          <cell r="AJ101">
            <v>5225</v>
          </cell>
          <cell r="AN101">
            <v>2934</v>
          </cell>
          <cell r="AO101">
            <v>5286</v>
          </cell>
          <cell r="AX101">
            <v>2965</v>
          </cell>
          <cell r="AY101">
            <v>1521</v>
          </cell>
          <cell r="BH101">
            <v>625</v>
          </cell>
          <cell r="BI101">
            <v>24</v>
          </cell>
          <cell r="BM101">
            <v>471</v>
          </cell>
          <cell r="BN101">
            <v>110</v>
          </cell>
          <cell r="BW101">
            <v>983</v>
          </cell>
          <cell r="BX101">
            <v>484</v>
          </cell>
          <cell r="CB101">
            <v>884</v>
          </cell>
          <cell r="CC101">
            <v>557</v>
          </cell>
          <cell r="CL101">
            <v>69</v>
          </cell>
          <cell r="CM101">
            <v>17</v>
          </cell>
          <cell r="CQ101">
            <v>222</v>
          </cell>
          <cell r="CR101">
            <v>1504</v>
          </cell>
          <cell r="DF101">
            <v>69</v>
          </cell>
          <cell r="DG101">
            <v>102</v>
          </cell>
          <cell r="DP101">
            <v>2</v>
          </cell>
          <cell r="DQ101">
            <v>3</v>
          </cell>
          <cell r="EE101">
            <v>5259</v>
          </cell>
          <cell r="EF101">
            <v>6448</v>
          </cell>
          <cell r="ET101">
            <v>1887</v>
          </cell>
          <cell r="EU101">
            <v>2300</v>
          </cell>
          <cell r="FI101">
            <v>235</v>
          </cell>
          <cell r="FJ101">
            <v>397</v>
          </cell>
          <cell r="FS101">
            <v>28904</v>
          </cell>
          <cell r="FT101">
            <v>28964</v>
          </cell>
          <cell r="GR101">
            <v>2217</v>
          </cell>
          <cell r="GS101">
            <v>5136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</sheetNames>
    <sheetDataSet>
      <sheetData sheetId="0">
        <row r="101">
          <cell r="B101">
            <v>4208</v>
          </cell>
          <cell r="E101">
            <v>3836</v>
          </cell>
          <cell r="F101">
            <v>5121</v>
          </cell>
          <cell r="J101">
            <v>3585</v>
          </cell>
          <cell r="K101">
            <v>5204</v>
          </cell>
          <cell r="T101">
            <v>374</v>
          </cell>
          <cell r="U101">
            <v>139</v>
          </cell>
          <cell r="Y101">
            <v>317</v>
          </cell>
          <cell r="Z101">
            <v>170</v>
          </cell>
          <cell r="AI101">
            <v>2821</v>
          </cell>
          <cell r="AJ101">
            <v>5592</v>
          </cell>
          <cell r="AN101">
            <v>2826</v>
          </cell>
          <cell r="AO101">
            <v>5658</v>
          </cell>
          <cell r="AX101">
            <v>2900</v>
          </cell>
          <cell r="AY101">
            <v>1719</v>
          </cell>
          <cell r="BH101">
            <v>571</v>
          </cell>
          <cell r="BI101">
            <v>26</v>
          </cell>
          <cell r="BM101">
            <v>426</v>
          </cell>
          <cell r="BN101">
            <v>118</v>
          </cell>
          <cell r="BW101">
            <v>993</v>
          </cell>
          <cell r="BX101">
            <v>541</v>
          </cell>
          <cell r="CB101">
            <v>875</v>
          </cell>
          <cell r="CC101">
            <v>601</v>
          </cell>
          <cell r="CL101">
            <v>65</v>
          </cell>
          <cell r="CM101">
            <v>21</v>
          </cell>
          <cell r="CQ101">
            <v>228</v>
          </cell>
          <cell r="CR101">
            <v>1512</v>
          </cell>
          <cell r="DF101">
            <v>68</v>
          </cell>
          <cell r="DG101">
            <v>116</v>
          </cell>
          <cell r="DP101">
            <v>11</v>
          </cell>
          <cell r="DQ101">
            <v>12</v>
          </cell>
          <cell r="EE101">
            <v>5300</v>
          </cell>
          <cell r="EF101">
            <v>7050</v>
          </cell>
          <cell r="ET101">
            <v>2245</v>
          </cell>
          <cell r="EU101">
            <v>2889</v>
          </cell>
          <cell r="FI101">
            <v>232</v>
          </cell>
          <cell r="FJ101">
            <v>433</v>
          </cell>
          <cell r="FS101">
            <v>29852</v>
          </cell>
          <cell r="FT101">
            <v>29944</v>
          </cell>
          <cell r="GR101">
            <v>2269</v>
          </cell>
          <cell r="GS101">
            <v>5976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APZ"/>
      <sheetName val="NUTS2"/>
    </sheetNames>
    <sheetDataSet>
      <sheetData sheetId="0">
        <row r="101">
          <cell r="E101">
            <v>2702</v>
          </cell>
          <cell r="F101">
            <v>853</v>
          </cell>
          <cell r="J101">
            <v>2183</v>
          </cell>
          <cell r="K101">
            <v>578</v>
          </cell>
          <cell r="T101">
            <v>562</v>
          </cell>
          <cell r="U101">
            <v>14</v>
          </cell>
          <cell r="Y101">
            <v>482</v>
          </cell>
          <cell r="Z101">
            <v>67</v>
          </cell>
          <cell r="AI101">
            <v>4194</v>
          </cell>
          <cell r="AJ101">
            <v>400</v>
          </cell>
          <cell r="AN101">
            <v>4013</v>
          </cell>
          <cell r="AO101">
            <v>386</v>
          </cell>
          <cell r="AX101">
            <v>4579</v>
          </cell>
          <cell r="AY101">
            <v>298</v>
          </cell>
          <cell r="BH101">
            <v>1380</v>
          </cell>
          <cell r="BI101">
            <v>67</v>
          </cell>
          <cell r="BM101">
            <v>1175</v>
          </cell>
          <cell r="BN101">
            <v>119</v>
          </cell>
          <cell r="BW101">
            <v>928</v>
          </cell>
          <cell r="BX101">
            <v>35</v>
          </cell>
          <cell r="CB101">
            <v>841</v>
          </cell>
          <cell r="CC101">
            <v>81</v>
          </cell>
          <cell r="CL101">
            <v>96</v>
          </cell>
          <cell r="CM101">
            <v>8</v>
          </cell>
          <cell r="CQ101">
            <v>6028</v>
          </cell>
          <cell r="CR101">
            <v>4656</v>
          </cell>
          <cell r="DA101">
            <v>0</v>
          </cell>
          <cell r="DB101">
            <v>0</v>
          </cell>
          <cell r="DF101">
            <v>16</v>
          </cell>
          <cell r="DG101">
            <v>16</v>
          </cell>
          <cell r="DP101">
            <v>19</v>
          </cell>
          <cell r="DQ101">
            <v>8</v>
          </cell>
          <cell r="FI101">
            <v>3593</v>
          </cell>
          <cell r="FJ101">
            <v>915</v>
          </cell>
          <cell r="FX101">
            <v>4645</v>
          </cell>
          <cell r="FY101">
            <v>2354</v>
          </cell>
          <cell r="GM101">
            <v>287</v>
          </cell>
          <cell r="GN101">
            <v>80</v>
          </cell>
        </row>
      </sheetData>
      <sheetData sheetId="1"/>
      <sheetData sheetId="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</sheetNames>
    <sheetDataSet>
      <sheetData sheetId="0">
        <row r="101">
          <cell r="C101">
            <v>45</v>
          </cell>
          <cell r="E101">
            <v>2911</v>
          </cell>
          <cell r="F101">
            <v>5166</v>
          </cell>
          <cell r="J101">
            <v>2742</v>
          </cell>
          <cell r="K101">
            <v>5279</v>
          </cell>
          <cell r="T101">
            <v>357</v>
          </cell>
          <cell r="U101">
            <v>157</v>
          </cell>
          <cell r="Y101">
            <v>300</v>
          </cell>
          <cell r="Z101">
            <v>186</v>
          </cell>
          <cell r="AI101">
            <v>2666</v>
          </cell>
          <cell r="AJ101">
            <v>5837</v>
          </cell>
          <cell r="AN101">
            <v>2641</v>
          </cell>
          <cell r="AO101">
            <v>5872</v>
          </cell>
          <cell r="AX101">
            <v>2821</v>
          </cell>
          <cell r="AY101">
            <v>1875</v>
          </cell>
          <cell r="BH101">
            <v>508</v>
          </cell>
          <cell r="BI101">
            <v>41</v>
          </cell>
          <cell r="BM101">
            <v>378</v>
          </cell>
          <cell r="BN101">
            <v>119</v>
          </cell>
          <cell r="BW101">
            <v>976</v>
          </cell>
          <cell r="BX101">
            <v>579</v>
          </cell>
          <cell r="CB101">
            <v>906</v>
          </cell>
          <cell r="CC101">
            <v>674</v>
          </cell>
          <cell r="CL101">
            <v>67</v>
          </cell>
          <cell r="CM101">
            <v>24</v>
          </cell>
          <cell r="CQ101">
            <v>229</v>
          </cell>
          <cell r="CR101">
            <v>1514</v>
          </cell>
          <cell r="DF101">
            <v>64</v>
          </cell>
          <cell r="DG101">
            <v>130</v>
          </cell>
          <cell r="DP101">
            <v>11</v>
          </cell>
          <cell r="DQ101">
            <v>13</v>
          </cell>
          <cell r="EE101">
            <v>5312</v>
          </cell>
          <cell r="EF101">
            <v>7554</v>
          </cell>
          <cell r="ET101">
            <v>2498</v>
          </cell>
          <cell r="EU101">
            <v>3447</v>
          </cell>
          <cell r="FI101">
            <v>316</v>
          </cell>
          <cell r="FJ101">
            <v>522</v>
          </cell>
          <cell r="FS101">
            <v>30299</v>
          </cell>
          <cell r="FT101">
            <v>30466</v>
          </cell>
          <cell r="GR101">
            <v>1897</v>
          </cell>
          <cell r="GS101">
            <v>6568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 AIS"/>
      <sheetName val="nez OK"/>
      <sheetName val="nez"/>
    </sheetNames>
    <sheetDataSet>
      <sheetData sheetId="0"/>
      <sheetData sheetId="1">
        <row r="101">
          <cell r="N101">
            <v>7403</v>
          </cell>
        </row>
      </sheetData>
      <sheetData sheetId="2">
        <row r="11">
          <cell r="CP11">
            <v>110</v>
          </cell>
        </row>
        <row r="101">
          <cell r="CS101">
            <v>1866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ísta"/>
      <sheetName val="osoby"/>
      <sheetName val="osoby_meziměsíční"/>
      <sheetName val="osoby_meziroční"/>
      <sheetName val="VPP graf"/>
      <sheetName val="osoby_roky_rozdíl"/>
      <sheetName val="grafy"/>
      <sheetName val="graf_místa_tripartita"/>
    </sheetNames>
    <sheetDataSet>
      <sheetData sheetId="0"/>
      <sheetData sheetId="1">
        <row r="33">
          <cell r="DD33">
            <v>1087</v>
          </cell>
          <cell r="DE33">
            <v>2664</v>
          </cell>
          <cell r="DF33">
            <v>4629</v>
          </cell>
          <cell r="DG33">
            <v>6737</v>
          </cell>
          <cell r="DH33">
            <v>8325</v>
          </cell>
          <cell r="DI33">
            <v>9702</v>
          </cell>
          <cell r="DJ33">
            <v>10412</v>
          </cell>
          <cell r="DK33">
            <v>11019</v>
          </cell>
          <cell r="DL33">
            <v>12565</v>
          </cell>
          <cell r="DM33">
            <v>14992</v>
          </cell>
          <cell r="DN33">
            <v>17606</v>
          </cell>
          <cell r="DO33">
            <v>18631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 AIS"/>
      <sheetName val="nez OK"/>
      <sheetName val="nez"/>
      <sheetName val="NUTS3"/>
    </sheetNames>
    <sheetDataSet>
      <sheetData sheetId="0"/>
      <sheetData sheetId="1">
        <row r="101">
          <cell r="N101">
            <v>5131</v>
          </cell>
        </row>
      </sheetData>
      <sheetData sheetId="2">
        <row r="11">
          <cell r="CP11">
            <v>81</v>
          </cell>
        </row>
        <row r="101">
          <cell r="CS101">
            <v>2059</v>
          </cell>
        </row>
      </sheetData>
      <sheetData sheetId="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 AIS"/>
      <sheetName val="nez OK"/>
      <sheetName val="nez"/>
    </sheetNames>
    <sheetDataSet>
      <sheetData sheetId="0"/>
      <sheetData sheetId="1"/>
      <sheetData sheetId="2">
        <row r="11">
          <cell r="CP11">
            <v>105</v>
          </cell>
        </row>
        <row r="101">
          <cell r="CS101">
            <v>2115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"/>
      <sheetName val="data AIS"/>
      <sheetName val="nez AIS"/>
      <sheetName val="nez OK"/>
      <sheetName val="nez"/>
    </sheetNames>
    <sheetDataSet>
      <sheetData sheetId="0"/>
      <sheetData sheetId="1"/>
      <sheetData sheetId="2"/>
      <sheetData sheetId="3"/>
      <sheetData sheetId="4">
        <row r="11">
          <cell r="CP11">
            <v>12</v>
          </cell>
        </row>
        <row r="101">
          <cell r="CS101">
            <v>2120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"/>
      <sheetName val="data AIS"/>
      <sheetName val="nez AIS"/>
      <sheetName val="nez OK"/>
      <sheetName val="nez"/>
    </sheetNames>
    <sheetDataSet>
      <sheetData sheetId="0"/>
      <sheetData sheetId="1"/>
      <sheetData sheetId="2"/>
      <sheetData sheetId="3"/>
      <sheetData sheetId="4">
        <row r="11">
          <cell r="CP11">
            <v>10</v>
          </cell>
        </row>
        <row r="101">
          <cell r="CS101">
            <v>2008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"/>
      <sheetName val="data AIS"/>
      <sheetName val="nez AIS"/>
      <sheetName val="nez OK"/>
      <sheetName val="nez"/>
    </sheetNames>
    <sheetDataSet>
      <sheetData sheetId="0"/>
      <sheetData sheetId="1"/>
      <sheetData sheetId="2"/>
      <sheetData sheetId="3"/>
      <sheetData sheetId="4">
        <row r="11">
          <cell r="CP11">
            <v>18</v>
          </cell>
        </row>
        <row r="101">
          <cell r="CS101">
            <v>1498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"/>
      <sheetName val="data AIS"/>
      <sheetName val="nez AIS"/>
      <sheetName val="nez OK"/>
      <sheetName val="nez"/>
    </sheetNames>
    <sheetDataSet>
      <sheetData sheetId="0"/>
      <sheetData sheetId="1"/>
      <sheetData sheetId="2"/>
      <sheetData sheetId="3"/>
      <sheetData sheetId="4">
        <row r="11">
          <cell r="CP11">
            <v>46</v>
          </cell>
        </row>
        <row r="101">
          <cell r="CS101">
            <v>1113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"/>
      <sheetName val="data AIS"/>
      <sheetName val="nez AIS"/>
      <sheetName val="nez OK"/>
      <sheetName val="nez"/>
    </sheetNames>
    <sheetDataSet>
      <sheetData sheetId="0"/>
      <sheetData sheetId="1"/>
      <sheetData sheetId="2"/>
      <sheetData sheetId="3"/>
      <sheetData sheetId="4">
        <row r="11">
          <cell r="CP11">
            <v>42</v>
          </cell>
        </row>
        <row r="101">
          <cell r="CS101">
            <v>941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APZ"/>
      <sheetName val="NUTS2"/>
    </sheetNames>
    <sheetDataSet>
      <sheetData sheetId="0">
        <row r="101">
          <cell r="E101">
            <v>5191</v>
          </cell>
          <cell r="F101">
            <v>3612</v>
          </cell>
          <cell r="J101">
            <v>3111</v>
          </cell>
          <cell r="K101">
            <v>1799</v>
          </cell>
          <cell r="T101">
            <v>521</v>
          </cell>
          <cell r="U101">
            <v>43</v>
          </cell>
          <cell r="Y101">
            <v>432</v>
          </cell>
          <cell r="Z101">
            <v>96</v>
          </cell>
          <cell r="AI101">
            <v>3729</v>
          </cell>
          <cell r="AJ101">
            <v>1157</v>
          </cell>
          <cell r="AN101">
            <v>3449</v>
          </cell>
          <cell r="AO101">
            <v>1002</v>
          </cell>
          <cell r="AX101">
            <v>4697</v>
          </cell>
          <cell r="AY101">
            <v>669</v>
          </cell>
          <cell r="BH101">
            <v>1491</v>
          </cell>
          <cell r="BI101">
            <v>208</v>
          </cell>
          <cell r="BM101">
            <v>1192</v>
          </cell>
          <cell r="BN101">
            <v>189</v>
          </cell>
          <cell r="BW101">
            <v>966</v>
          </cell>
          <cell r="BX101">
            <v>81</v>
          </cell>
          <cell r="CB101">
            <v>879</v>
          </cell>
          <cell r="CC101">
            <v>155</v>
          </cell>
          <cell r="CL101">
            <v>98</v>
          </cell>
          <cell r="CM101">
            <v>15</v>
          </cell>
          <cell r="CQ101">
            <v>8419</v>
          </cell>
          <cell r="CR101">
            <v>7048</v>
          </cell>
          <cell r="DA101">
            <v>0</v>
          </cell>
          <cell r="DB101">
            <v>0</v>
          </cell>
          <cell r="DF101">
            <v>62</v>
          </cell>
          <cell r="DG101">
            <v>62</v>
          </cell>
          <cell r="DP101">
            <v>23</v>
          </cell>
          <cell r="DQ101">
            <v>16</v>
          </cell>
          <cell r="FI101">
            <v>3364</v>
          </cell>
          <cell r="FJ101">
            <v>1612</v>
          </cell>
          <cell r="FX101">
            <v>5528</v>
          </cell>
          <cell r="FY101">
            <v>3520</v>
          </cell>
          <cell r="GM101">
            <v>288</v>
          </cell>
          <cell r="GN101">
            <v>113</v>
          </cell>
        </row>
      </sheetData>
      <sheetData sheetId="1"/>
      <sheetData sheetId="2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"/>
      <sheetName val="data AIS"/>
      <sheetName val="nez AIS"/>
      <sheetName val="nez OK"/>
      <sheetName val="nez"/>
    </sheetNames>
    <sheetDataSet>
      <sheetData sheetId="0"/>
      <sheetData sheetId="1"/>
      <sheetData sheetId="2"/>
      <sheetData sheetId="3"/>
      <sheetData sheetId="4">
        <row r="11">
          <cell r="CP11">
            <v>86</v>
          </cell>
        </row>
        <row r="101">
          <cell r="CS101">
            <v>1687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"/>
      <sheetName val="data AIS"/>
      <sheetName val="nez AIS"/>
      <sheetName val="nez OK"/>
      <sheetName val="nez"/>
    </sheetNames>
    <sheetDataSet>
      <sheetData sheetId="0"/>
      <sheetData sheetId="1"/>
      <sheetData sheetId="2"/>
      <sheetData sheetId="3"/>
      <sheetData sheetId="4">
        <row r="11">
          <cell r="CP11">
            <v>143</v>
          </cell>
        </row>
        <row r="101">
          <cell r="CS101">
            <v>2596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"/>
      <sheetName val="data AIS"/>
      <sheetName val="nez AIS"/>
      <sheetName val="nez OK"/>
      <sheetName val="nez"/>
    </sheetNames>
    <sheetDataSet>
      <sheetData sheetId="0"/>
      <sheetData sheetId="1"/>
      <sheetData sheetId="2"/>
      <sheetData sheetId="3"/>
      <sheetData sheetId="4">
        <row r="11">
          <cell r="CP11">
            <v>96</v>
          </cell>
        </row>
        <row r="101">
          <cell r="CS101">
            <v>3185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"/>
      <sheetName val="data AIS"/>
      <sheetName val="nez AIS"/>
      <sheetName val="nez OK"/>
      <sheetName val="nez"/>
      <sheetName val="NUTS2"/>
    </sheetNames>
    <sheetDataSet>
      <sheetData sheetId="0"/>
      <sheetData sheetId="1"/>
      <sheetData sheetId="2"/>
      <sheetData sheetId="3"/>
      <sheetData sheetId="4">
        <row r="11">
          <cell r="CP11">
            <v>29</v>
          </cell>
        </row>
        <row r="101">
          <cell r="CS101">
            <v>1856</v>
          </cell>
        </row>
      </sheetData>
      <sheetData sheetId="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R"/>
    </sheetNames>
    <sheetDataSet>
      <sheetData sheetId="0">
        <row r="26">
          <cell r="AH26" t="str">
            <v>VPP</v>
          </cell>
          <cell r="AJ26">
            <v>5232</v>
          </cell>
        </row>
        <row r="27">
          <cell r="AH27" t="str">
            <v>SÚPM vč.SVČ</v>
          </cell>
          <cell r="AJ27">
            <v>8831</v>
          </cell>
        </row>
        <row r="28">
          <cell r="AH28" t="str">
            <v>CHPM vč. SVČ</v>
          </cell>
          <cell r="AJ28">
            <v>768</v>
          </cell>
        </row>
        <row r="29">
          <cell r="AH29" t="str">
            <v>ESF VPP</v>
          </cell>
          <cell r="AJ29">
            <v>16607</v>
          </cell>
        </row>
        <row r="30">
          <cell r="AH30" t="str">
            <v>ESF SÚPM</v>
          </cell>
          <cell r="AJ30">
            <v>12885</v>
          </cell>
        </row>
        <row r="31">
          <cell r="AH31" t="str">
            <v>ESF CP</v>
          </cell>
          <cell r="AJ31">
            <v>3301</v>
          </cell>
        </row>
        <row r="32">
          <cell r="AH32" t="str">
            <v>REKV</v>
          </cell>
          <cell r="AJ32">
            <v>27877</v>
          </cell>
        </row>
        <row r="33">
          <cell r="AH33" t="str">
            <v>Zvolená rekv.</v>
          </cell>
          <cell r="AJ33">
            <v>13561</v>
          </cell>
        </row>
        <row r="34">
          <cell r="AH34" t="str">
            <v>přísp. na provoz CHPM a CHPM-SVČ</v>
          </cell>
          <cell r="AJ34">
            <v>92</v>
          </cell>
        </row>
        <row r="35">
          <cell r="AH35" t="str">
            <v>přísp. na zapracování</v>
          </cell>
          <cell r="AJ35">
            <v>54</v>
          </cell>
        </row>
        <row r="36">
          <cell r="AH36" t="str">
            <v>překlenovací přísp.</v>
          </cell>
          <cell r="AJ36">
            <v>270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NUTS3_CHD a CHM jeden oddíl"/>
    </sheetNames>
    <sheetDataSet>
      <sheetData sheetId="0">
        <row r="101">
          <cell r="C101">
            <v>149</v>
          </cell>
          <cell r="E101">
            <v>2665</v>
          </cell>
          <cell r="F101">
            <v>149</v>
          </cell>
          <cell r="J101">
            <v>2435</v>
          </cell>
          <cell r="K101">
            <v>94</v>
          </cell>
          <cell r="T101">
            <v>312</v>
          </cell>
          <cell r="U101">
            <v>25</v>
          </cell>
          <cell r="Y101">
            <v>267</v>
          </cell>
          <cell r="Z101">
            <v>37</v>
          </cell>
          <cell r="AI101">
            <v>2493</v>
          </cell>
          <cell r="AJ101">
            <v>67</v>
          </cell>
          <cell r="AN101">
            <v>2462</v>
          </cell>
          <cell r="AO101">
            <v>78</v>
          </cell>
          <cell r="AX101">
            <v>2759</v>
          </cell>
          <cell r="AY101">
            <v>64</v>
          </cell>
          <cell r="BH101">
            <v>460</v>
          </cell>
          <cell r="BI101">
            <v>0</v>
          </cell>
          <cell r="BM101">
            <v>334</v>
          </cell>
          <cell r="BN101">
            <v>3</v>
          </cell>
          <cell r="BW101">
            <v>955</v>
          </cell>
          <cell r="BX101">
            <v>10</v>
          </cell>
          <cell r="CB101">
            <v>916</v>
          </cell>
          <cell r="CC101">
            <v>71</v>
          </cell>
          <cell r="CL101">
            <v>64</v>
          </cell>
          <cell r="CM101">
            <v>1</v>
          </cell>
          <cell r="CQ101">
            <v>202</v>
          </cell>
          <cell r="CR101">
            <v>47</v>
          </cell>
          <cell r="DF101">
            <v>67</v>
          </cell>
          <cell r="DG101">
            <v>19</v>
          </cell>
          <cell r="DP101">
            <v>10</v>
          </cell>
          <cell r="DQ101">
            <v>0</v>
          </cell>
          <cell r="EE101">
            <v>5458</v>
          </cell>
          <cell r="EF101">
            <v>526</v>
          </cell>
          <cell r="ET101">
            <v>2547</v>
          </cell>
          <cell r="EU101">
            <v>312</v>
          </cell>
          <cell r="FI101">
            <v>348</v>
          </cell>
          <cell r="FJ101">
            <v>45</v>
          </cell>
          <cell r="FS101">
            <v>30772</v>
          </cell>
          <cell r="FT101">
            <v>494</v>
          </cell>
          <cell r="GR101">
            <v>2044</v>
          </cell>
          <cell r="GS101">
            <v>677</v>
          </cell>
        </row>
      </sheetData>
      <sheetData sheetId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součet CHD a CHM"/>
    </sheetNames>
    <sheetDataSet>
      <sheetData sheetId="0">
        <row r="101">
          <cell r="C101">
            <v>469</v>
          </cell>
          <cell r="E101">
            <v>2645</v>
          </cell>
          <cell r="F101">
            <v>618</v>
          </cell>
          <cell r="J101">
            <v>2231</v>
          </cell>
          <cell r="K101">
            <v>378</v>
          </cell>
          <cell r="T101">
            <v>280</v>
          </cell>
          <cell r="U101">
            <v>29</v>
          </cell>
          <cell r="Y101">
            <v>235</v>
          </cell>
          <cell r="Z101">
            <v>40</v>
          </cell>
          <cell r="AI101">
            <v>2479</v>
          </cell>
          <cell r="AJ101">
            <v>272</v>
          </cell>
          <cell r="AN101">
            <v>2450</v>
          </cell>
          <cell r="AO101">
            <v>281</v>
          </cell>
          <cell r="AX101">
            <v>2746</v>
          </cell>
          <cell r="AY101">
            <v>176</v>
          </cell>
          <cell r="BH101">
            <v>368</v>
          </cell>
          <cell r="BI101">
            <v>0</v>
          </cell>
          <cell r="BM101">
            <v>269</v>
          </cell>
          <cell r="BN101">
            <v>4</v>
          </cell>
          <cell r="BW101">
            <v>970</v>
          </cell>
          <cell r="BX101">
            <v>54</v>
          </cell>
          <cell r="CB101">
            <v>903</v>
          </cell>
          <cell r="CC101">
            <v>92</v>
          </cell>
          <cell r="CL101">
            <v>64</v>
          </cell>
          <cell r="CM101">
            <v>3</v>
          </cell>
          <cell r="CQ101">
            <v>203</v>
          </cell>
          <cell r="CR101">
            <v>65</v>
          </cell>
          <cell r="DF101">
            <v>70</v>
          </cell>
          <cell r="DG101">
            <v>27</v>
          </cell>
          <cell r="DP101">
            <v>10</v>
          </cell>
          <cell r="DQ101">
            <v>0</v>
          </cell>
          <cell r="EE101">
            <v>5585</v>
          </cell>
          <cell r="EF101">
            <v>869</v>
          </cell>
          <cell r="ET101">
            <v>2743</v>
          </cell>
          <cell r="EU101">
            <v>721</v>
          </cell>
          <cell r="FI101">
            <v>391</v>
          </cell>
          <cell r="FJ101">
            <v>104</v>
          </cell>
          <cell r="FS101">
            <v>31121</v>
          </cell>
          <cell r="FT101">
            <v>872</v>
          </cell>
          <cell r="GR101">
            <v>2587</v>
          </cell>
          <cell r="GS101">
            <v>1938</v>
          </cell>
        </row>
      </sheetData>
      <sheetData sheetId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součet CHD a CHM"/>
    </sheetNames>
    <sheetDataSet>
      <sheetData sheetId="0">
        <row r="101">
          <cell r="C101">
            <v>405</v>
          </cell>
          <cell r="E101">
            <v>2337</v>
          </cell>
          <cell r="F101">
            <v>1023</v>
          </cell>
          <cell r="J101">
            <v>2048</v>
          </cell>
          <cell r="K101">
            <v>851</v>
          </cell>
          <cell r="T101">
            <v>262</v>
          </cell>
          <cell r="U101">
            <v>37</v>
          </cell>
          <cell r="Y101">
            <v>218</v>
          </cell>
          <cell r="Z101">
            <v>50</v>
          </cell>
          <cell r="AI101">
            <v>2144</v>
          </cell>
          <cell r="AJ101">
            <v>386</v>
          </cell>
          <cell r="AN101">
            <v>2142</v>
          </cell>
          <cell r="AO101">
            <v>398</v>
          </cell>
          <cell r="AX101">
            <v>2700</v>
          </cell>
          <cell r="AY101">
            <v>395</v>
          </cell>
          <cell r="BH101">
            <v>297</v>
          </cell>
          <cell r="BI101">
            <v>0</v>
          </cell>
          <cell r="BM101">
            <v>213</v>
          </cell>
          <cell r="BN101">
            <v>11</v>
          </cell>
          <cell r="BW101">
            <v>938</v>
          </cell>
          <cell r="BX101">
            <v>80</v>
          </cell>
          <cell r="CB101">
            <v>882</v>
          </cell>
          <cell r="CC101">
            <v>137</v>
          </cell>
          <cell r="CL101">
            <v>61</v>
          </cell>
          <cell r="CM101">
            <v>8</v>
          </cell>
          <cell r="CQ101">
            <v>195</v>
          </cell>
          <cell r="CR101">
            <v>74</v>
          </cell>
          <cell r="DF101">
            <v>64</v>
          </cell>
          <cell r="DG101">
            <v>36</v>
          </cell>
          <cell r="DP101">
            <v>17</v>
          </cell>
          <cell r="DQ101">
            <v>7</v>
          </cell>
          <cell r="EE101">
            <v>6279</v>
          </cell>
          <cell r="EF101">
            <v>2442</v>
          </cell>
          <cell r="ET101">
            <v>3406</v>
          </cell>
          <cell r="EU101">
            <v>1750</v>
          </cell>
          <cell r="FI101">
            <v>502</v>
          </cell>
          <cell r="FJ101">
            <v>239</v>
          </cell>
          <cell r="FS101">
            <v>31498</v>
          </cell>
          <cell r="FT101">
            <v>1267</v>
          </cell>
          <cell r="GR101">
            <v>2777</v>
          </cell>
          <cell r="GS101">
            <v>3171</v>
          </cell>
        </row>
      </sheetData>
      <sheetData sheetId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součet CHD a CHM"/>
      <sheetName val="APZ"/>
      <sheetName val="NUTS2"/>
    </sheetNames>
    <sheetDataSet>
      <sheetData sheetId="0">
        <row r="101">
          <cell r="C101">
            <v>911</v>
          </cell>
          <cell r="E101">
            <v>2826</v>
          </cell>
          <cell r="F101">
            <v>1934</v>
          </cell>
          <cell r="J101">
            <v>2416</v>
          </cell>
          <cell r="K101">
            <v>1655</v>
          </cell>
          <cell r="T101">
            <v>264</v>
          </cell>
          <cell r="U101">
            <v>50</v>
          </cell>
          <cell r="Y101">
            <v>224</v>
          </cell>
          <cell r="Z101">
            <v>68</v>
          </cell>
          <cell r="AI101">
            <v>1867</v>
          </cell>
          <cell r="AJ101">
            <v>547</v>
          </cell>
          <cell r="AN101">
            <v>1851</v>
          </cell>
          <cell r="AO101">
            <v>553</v>
          </cell>
          <cell r="AX101">
            <v>2527</v>
          </cell>
          <cell r="AY101">
            <v>591</v>
          </cell>
          <cell r="BH101">
            <v>263</v>
          </cell>
          <cell r="BI101">
            <v>0</v>
          </cell>
          <cell r="BM101">
            <v>180</v>
          </cell>
          <cell r="BN101">
            <v>12</v>
          </cell>
          <cell r="BW101">
            <v>933</v>
          </cell>
          <cell r="BX101">
            <v>157</v>
          </cell>
          <cell r="CB101">
            <v>860</v>
          </cell>
          <cell r="CC101">
            <v>196</v>
          </cell>
          <cell r="CL101">
            <v>61</v>
          </cell>
          <cell r="CM101">
            <v>12</v>
          </cell>
          <cell r="CQ101">
            <v>200</v>
          </cell>
          <cell r="CR101">
            <v>79</v>
          </cell>
          <cell r="DF101">
            <v>77</v>
          </cell>
          <cell r="DG101">
            <v>60</v>
          </cell>
          <cell r="DP101">
            <v>24</v>
          </cell>
          <cell r="DQ101">
            <v>14</v>
          </cell>
          <cell r="EE101">
            <v>11062</v>
          </cell>
          <cell r="EF101">
            <v>8106</v>
          </cell>
          <cell r="ET101">
            <v>4510</v>
          </cell>
          <cell r="EU101">
            <v>3233</v>
          </cell>
          <cell r="FI101">
            <v>583</v>
          </cell>
          <cell r="FJ101">
            <v>344</v>
          </cell>
          <cell r="FS101">
            <v>31966</v>
          </cell>
          <cell r="FT101">
            <v>1765</v>
          </cell>
          <cell r="GR101">
            <v>2977</v>
          </cell>
          <cell r="GS101">
            <v>4558</v>
          </cell>
        </row>
      </sheetData>
      <sheetData sheetId="1"/>
      <sheetData sheetId="2"/>
      <sheetData sheetId="3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součet CHD a CHM"/>
      <sheetName val="APZ"/>
      <sheetName val="NUTS2"/>
    </sheetNames>
    <sheetDataSet>
      <sheetData sheetId="0">
        <row r="101">
          <cell r="C101">
            <v>519</v>
          </cell>
          <cell r="E101">
            <v>3256</v>
          </cell>
          <cell r="F101">
            <v>2453</v>
          </cell>
          <cell r="J101">
            <v>2990</v>
          </cell>
          <cell r="K101">
            <v>2300</v>
          </cell>
          <cell r="T101">
            <v>286</v>
          </cell>
          <cell r="U101">
            <v>84</v>
          </cell>
          <cell r="Y101">
            <v>241</v>
          </cell>
          <cell r="Z101">
            <v>99</v>
          </cell>
          <cell r="AI101">
            <v>1832</v>
          </cell>
          <cell r="AJ101">
            <v>708</v>
          </cell>
          <cell r="AN101">
            <v>1813</v>
          </cell>
          <cell r="AO101">
            <v>711</v>
          </cell>
          <cell r="AX101">
            <v>2496</v>
          </cell>
          <cell r="AY101">
            <v>805</v>
          </cell>
          <cell r="BH101">
            <v>238</v>
          </cell>
          <cell r="BI101">
            <v>0</v>
          </cell>
          <cell r="BM101">
            <v>158</v>
          </cell>
          <cell r="BN101">
            <v>12</v>
          </cell>
          <cell r="BW101">
            <v>955</v>
          </cell>
          <cell r="BX101">
            <v>221</v>
          </cell>
          <cell r="CB101">
            <v>897</v>
          </cell>
          <cell r="CC101">
            <v>277</v>
          </cell>
          <cell r="CL101">
            <v>57</v>
          </cell>
          <cell r="CM101">
            <v>12</v>
          </cell>
          <cell r="CQ101">
            <v>201</v>
          </cell>
          <cell r="CR101">
            <v>80</v>
          </cell>
          <cell r="DF101">
            <v>82</v>
          </cell>
          <cell r="DG101">
            <v>81</v>
          </cell>
          <cell r="DP101">
            <v>20</v>
          </cell>
          <cell r="DQ101">
            <v>20</v>
          </cell>
          <cell r="EE101">
            <v>13846</v>
          </cell>
          <cell r="EF101">
            <v>11426</v>
          </cell>
          <cell r="ET101">
            <v>5793</v>
          </cell>
          <cell r="EU101">
            <v>4979</v>
          </cell>
          <cell r="FI101">
            <v>694</v>
          </cell>
          <cell r="FJ101">
            <v>499</v>
          </cell>
          <cell r="FS101">
            <v>32426</v>
          </cell>
          <cell r="FT101">
            <v>2265</v>
          </cell>
          <cell r="GR101">
            <v>3136</v>
          </cell>
          <cell r="GS101">
            <v>5676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APZ"/>
      <sheetName val="NUTS2"/>
    </sheetNames>
    <sheetDataSet>
      <sheetData sheetId="0">
        <row r="101">
          <cell r="E101">
            <v>6986</v>
          </cell>
          <cell r="F101">
            <v>5643</v>
          </cell>
          <cell r="J101">
            <v>6050</v>
          </cell>
          <cell r="K101">
            <v>5046</v>
          </cell>
          <cell r="T101">
            <v>492</v>
          </cell>
          <cell r="U101">
            <v>50</v>
          </cell>
          <cell r="Y101">
            <v>420</v>
          </cell>
          <cell r="Z101">
            <v>128</v>
          </cell>
          <cell r="AI101">
            <v>3221</v>
          </cell>
          <cell r="AJ101">
            <v>1842</v>
          </cell>
          <cell r="AN101">
            <v>3038</v>
          </cell>
          <cell r="AO101">
            <v>1768</v>
          </cell>
          <cell r="AX101">
            <v>4655</v>
          </cell>
          <cell r="AY101">
            <v>889</v>
          </cell>
          <cell r="BH101">
            <v>1454</v>
          </cell>
          <cell r="BI101">
            <v>213</v>
          </cell>
          <cell r="BM101">
            <v>1185</v>
          </cell>
          <cell r="BN101">
            <v>257</v>
          </cell>
          <cell r="BW101">
            <v>1003</v>
          </cell>
          <cell r="BX101">
            <v>151</v>
          </cell>
          <cell r="CB101">
            <v>914</v>
          </cell>
          <cell r="CC101">
            <v>232</v>
          </cell>
          <cell r="CL101">
            <v>97</v>
          </cell>
          <cell r="CM101">
            <v>17</v>
          </cell>
          <cell r="CQ101">
            <v>8984</v>
          </cell>
          <cell r="CR101">
            <v>7628</v>
          </cell>
          <cell r="DA101">
            <v>0</v>
          </cell>
          <cell r="DB101">
            <v>0</v>
          </cell>
          <cell r="DF101">
            <v>93</v>
          </cell>
          <cell r="DG101">
            <v>94</v>
          </cell>
          <cell r="DP101">
            <v>21</v>
          </cell>
          <cell r="DQ101">
            <v>19</v>
          </cell>
          <cell r="FI101">
            <v>3464</v>
          </cell>
          <cell r="FJ101">
            <v>2432</v>
          </cell>
          <cell r="FX101">
            <v>5830</v>
          </cell>
          <cell r="FY101">
            <v>4065</v>
          </cell>
          <cell r="GM101">
            <v>327</v>
          </cell>
          <cell r="GN101">
            <v>176</v>
          </cell>
        </row>
      </sheetData>
      <sheetData sheetId="1"/>
      <sheetData sheetId="2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součet CHD a CHM"/>
      <sheetName val="APZ"/>
      <sheetName val="NUTS2"/>
      <sheetName val="List1"/>
    </sheetNames>
    <sheetDataSet>
      <sheetData sheetId="0">
        <row r="101">
          <cell r="C101">
            <v>1003</v>
          </cell>
          <cell r="E101">
            <v>4103</v>
          </cell>
          <cell r="F101">
            <v>3456</v>
          </cell>
          <cell r="J101">
            <v>3672</v>
          </cell>
          <cell r="K101">
            <v>3146</v>
          </cell>
          <cell r="T101">
            <v>289</v>
          </cell>
          <cell r="U101">
            <v>93</v>
          </cell>
          <cell r="Y101">
            <v>242</v>
          </cell>
          <cell r="Z101">
            <v>108</v>
          </cell>
          <cell r="AI101">
            <v>2333</v>
          </cell>
          <cell r="AJ101">
            <v>1430</v>
          </cell>
          <cell r="AN101">
            <v>2144</v>
          </cell>
          <cell r="AO101">
            <v>1264</v>
          </cell>
          <cell r="AX101">
            <v>2508</v>
          </cell>
          <cell r="AY101">
            <v>1037</v>
          </cell>
          <cell r="BH101">
            <v>210</v>
          </cell>
          <cell r="BI101">
            <v>0</v>
          </cell>
          <cell r="BM101">
            <v>129</v>
          </cell>
          <cell r="BN101">
            <v>13</v>
          </cell>
          <cell r="BW101">
            <v>994</v>
          </cell>
          <cell r="BX101">
            <v>277</v>
          </cell>
          <cell r="CB101">
            <v>915</v>
          </cell>
          <cell r="CC101">
            <v>323</v>
          </cell>
          <cell r="CL101">
            <v>55</v>
          </cell>
          <cell r="CM101">
            <v>15</v>
          </cell>
          <cell r="CQ101">
            <v>195</v>
          </cell>
          <cell r="CR101">
            <v>81</v>
          </cell>
          <cell r="DF101">
            <v>105</v>
          </cell>
          <cell r="DG101">
            <v>112</v>
          </cell>
          <cell r="DP101">
            <v>24</v>
          </cell>
          <cell r="DQ101">
            <v>30</v>
          </cell>
          <cell r="EE101">
            <v>14957</v>
          </cell>
          <cell r="EF101">
            <v>13195</v>
          </cell>
          <cell r="ET101">
            <v>7050</v>
          </cell>
          <cell r="EU101">
            <v>6668</v>
          </cell>
          <cell r="FI101">
            <v>896</v>
          </cell>
          <cell r="FJ101">
            <v>714</v>
          </cell>
          <cell r="FS101">
            <v>33245</v>
          </cell>
          <cell r="FT101">
            <v>3119</v>
          </cell>
          <cell r="GR101">
            <v>2887</v>
          </cell>
          <cell r="GS101">
            <v>6619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součet CHD a CHM"/>
      <sheetName val="APZ"/>
      <sheetName val="NUTS2"/>
    </sheetNames>
    <sheetDataSet>
      <sheetData sheetId="0">
        <row r="101">
          <cell r="E101">
            <v>4331</v>
          </cell>
          <cell r="F101">
            <v>3892</v>
          </cell>
          <cell r="J101">
            <v>4059</v>
          </cell>
          <cell r="K101">
            <v>3779</v>
          </cell>
          <cell r="T101">
            <v>307</v>
          </cell>
          <cell r="U101">
            <v>123</v>
          </cell>
          <cell r="Y101">
            <v>257</v>
          </cell>
          <cell r="Z101">
            <v>135</v>
          </cell>
          <cell r="AI101">
            <v>3209</v>
          </cell>
          <cell r="AJ101">
            <v>2424</v>
          </cell>
          <cell r="AN101">
            <v>3038</v>
          </cell>
          <cell r="AO101">
            <v>2277</v>
          </cell>
          <cell r="AX101">
            <v>2572</v>
          </cell>
          <cell r="AY101">
            <v>1257</v>
          </cell>
          <cell r="BH101">
            <v>189</v>
          </cell>
          <cell r="BI101">
            <v>0</v>
          </cell>
          <cell r="BM101">
            <v>108</v>
          </cell>
          <cell r="BN101">
            <v>15</v>
          </cell>
          <cell r="BW101">
            <v>1024</v>
          </cell>
          <cell r="BX101">
            <v>344</v>
          </cell>
          <cell r="CB101">
            <v>930</v>
          </cell>
          <cell r="CC101">
            <v>383</v>
          </cell>
          <cell r="CL101">
            <v>54</v>
          </cell>
          <cell r="CM101">
            <v>16</v>
          </cell>
          <cell r="CQ101">
            <v>198</v>
          </cell>
          <cell r="CR101">
            <v>84</v>
          </cell>
          <cell r="DF101">
            <v>118</v>
          </cell>
          <cell r="DG101">
            <v>138</v>
          </cell>
          <cell r="DP101">
            <v>28</v>
          </cell>
          <cell r="DQ101">
            <v>39</v>
          </cell>
          <cell r="EE101">
            <v>15421</v>
          </cell>
          <cell r="EF101">
            <v>14137</v>
          </cell>
          <cell r="ET101">
            <v>7804</v>
          </cell>
          <cell r="EU101">
            <v>7733</v>
          </cell>
          <cell r="FI101">
            <v>1130</v>
          </cell>
          <cell r="FJ101">
            <v>958</v>
          </cell>
          <cell r="FS101">
            <v>33652</v>
          </cell>
          <cell r="FT101">
            <v>3547</v>
          </cell>
          <cell r="GR101">
            <v>2588</v>
          </cell>
          <cell r="GS101">
            <v>7094</v>
          </cell>
          <cell r="HB101">
            <v>203</v>
          </cell>
          <cell r="HC101">
            <v>272</v>
          </cell>
        </row>
      </sheetData>
      <sheetData sheetId="1"/>
      <sheetData sheetId="2"/>
      <sheetData sheetId="3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součet CHD a CHM"/>
      <sheetName val="APZ"/>
      <sheetName val="NUTS2"/>
    </sheetNames>
    <sheetDataSet>
      <sheetData sheetId="0">
        <row r="101">
          <cell r="E101">
            <v>4533</v>
          </cell>
          <cell r="F101">
            <v>4238</v>
          </cell>
          <cell r="J101">
            <v>4273</v>
          </cell>
          <cell r="K101">
            <v>4193</v>
          </cell>
          <cell r="T101">
            <v>318</v>
          </cell>
          <cell r="U101">
            <v>147</v>
          </cell>
          <cell r="Y101">
            <v>270</v>
          </cell>
          <cell r="Z101">
            <v>158</v>
          </cell>
          <cell r="AI101">
            <v>3631</v>
          </cell>
          <cell r="AJ101">
            <v>3366</v>
          </cell>
          <cell r="AN101">
            <v>3572</v>
          </cell>
          <cell r="AO101">
            <v>3319</v>
          </cell>
          <cell r="AX101">
            <v>2608</v>
          </cell>
          <cell r="AY101">
            <v>1460</v>
          </cell>
          <cell r="BH101">
            <v>185</v>
          </cell>
          <cell r="BI101">
            <v>0</v>
          </cell>
          <cell r="BM101">
            <v>105</v>
          </cell>
          <cell r="BN101">
            <v>16</v>
          </cell>
          <cell r="BW101">
            <v>1024</v>
          </cell>
          <cell r="BX101">
            <v>386</v>
          </cell>
          <cell r="CB101">
            <v>942</v>
          </cell>
          <cell r="CC101">
            <v>435</v>
          </cell>
          <cell r="CL101">
            <v>55</v>
          </cell>
          <cell r="CM101">
            <v>19</v>
          </cell>
          <cell r="CQ101">
            <v>197</v>
          </cell>
          <cell r="CR101">
            <v>85</v>
          </cell>
          <cell r="DF101">
            <v>137</v>
          </cell>
          <cell r="DG101">
            <v>163</v>
          </cell>
          <cell r="DP101">
            <v>30</v>
          </cell>
          <cell r="DQ101">
            <v>41</v>
          </cell>
          <cell r="EE101">
            <v>15251</v>
          </cell>
          <cell r="EF101">
            <v>14590</v>
          </cell>
          <cell r="ET101">
            <v>7769</v>
          </cell>
          <cell r="EU101">
            <v>8186</v>
          </cell>
          <cell r="FI101">
            <v>1272</v>
          </cell>
          <cell r="FJ101">
            <v>1118</v>
          </cell>
          <cell r="FS101">
            <v>33977</v>
          </cell>
          <cell r="FT101">
            <v>3900</v>
          </cell>
          <cell r="GR101">
            <v>2359</v>
          </cell>
          <cell r="GS101">
            <v>7362</v>
          </cell>
          <cell r="HB101">
            <v>509</v>
          </cell>
          <cell r="HC101">
            <v>769</v>
          </cell>
        </row>
      </sheetData>
      <sheetData sheetId="1"/>
      <sheetData sheetId="2"/>
      <sheetData sheetId="3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součet CHD a CHM"/>
      <sheetName val="APZ"/>
      <sheetName val="NUTS2"/>
    </sheetNames>
    <sheetDataSet>
      <sheetData sheetId="0">
        <row r="101">
          <cell r="E101">
            <v>4514</v>
          </cell>
          <cell r="F101">
            <v>4621</v>
          </cell>
          <cell r="J101">
            <v>4317</v>
          </cell>
          <cell r="K101">
            <v>4607</v>
          </cell>
          <cell r="T101">
            <v>348</v>
          </cell>
          <cell r="U101">
            <v>181</v>
          </cell>
          <cell r="Y101">
            <v>299</v>
          </cell>
          <cell r="Z101">
            <v>196</v>
          </cell>
          <cell r="AI101">
            <v>4536</v>
          </cell>
          <cell r="AJ101">
            <v>4536</v>
          </cell>
          <cell r="AN101">
            <v>4409</v>
          </cell>
          <cell r="AO101">
            <v>4419</v>
          </cell>
          <cell r="AX101">
            <v>2676</v>
          </cell>
          <cell r="AY101">
            <v>1696</v>
          </cell>
          <cell r="BH101">
            <v>182</v>
          </cell>
          <cell r="BI101">
            <v>0</v>
          </cell>
          <cell r="BM101">
            <v>102</v>
          </cell>
          <cell r="BN101">
            <v>16</v>
          </cell>
          <cell r="BW101">
            <v>1085</v>
          </cell>
          <cell r="BX101">
            <v>463</v>
          </cell>
          <cell r="CB101">
            <v>992</v>
          </cell>
          <cell r="CC101">
            <v>502</v>
          </cell>
          <cell r="CL101">
            <v>55</v>
          </cell>
          <cell r="CM101">
            <v>21</v>
          </cell>
          <cell r="CQ101">
            <v>200</v>
          </cell>
          <cell r="CR101">
            <v>89</v>
          </cell>
          <cell r="DF101">
            <v>152</v>
          </cell>
          <cell r="DG101">
            <v>194</v>
          </cell>
          <cell r="DP101">
            <v>27</v>
          </cell>
          <cell r="DQ101">
            <v>41</v>
          </cell>
          <cell r="EE101">
            <v>14763</v>
          </cell>
          <cell r="EF101">
            <v>15096</v>
          </cell>
          <cell r="ET101">
            <v>7697</v>
          </cell>
          <cell r="EU101">
            <v>8856</v>
          </cell>
          <cell r="FI101">
            <v>1347</v>
          </cell>
          <cell r="FJ101">
            <v>1215</v>
          </cell>
          <cell r="FS101">
            <v>34629</v>
          </cell>
          <cell r="FT101">
            <v>4575</v>
          </cell>
          <cell r="GR101">
            <v>2230</v>
          </cell>
          <cell r="GS101">
            <v>7588</v>
          </cell>
          <cell r="HB101">
            <v>1415</v>
          </cell>
          <cell r="HC101">
            <v>1985</v>
          </cell>
        </row>
      </sheetData>
      <sheetData sheetId="1"/>
      <sheetData sheetId="2"/>
      <sheetData sheetId="3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součet CHD a CHM"/>
      <sheetName val="APZ"/>
      <sheetName val="NUTS2"/>
      <sheetName val="List1"/>
      <sheetName val="List2"/>
    </sheetNames>
    <sheetDataSet>
      <sheetData sheetId="0">
        <row r="101">
          <cell r="E101">
            <v>4451</v>
          </cell>
          <cell r="F101">
            <v>4915</v>
          </cell>
          <cell r="J101">
            <v>4199</v>
          </cell>
          <cell r="K101">
            <v>4893</v>
          </cell>
          <cell r="T101">
            <v>352</v>
          </cell>
          <cell r="U101">
            <v>186</v>
          </cell>
          <cell r="Y101">
            <v>302</v>
          </cell>
          <cell r="Z101">
            <v>202</v>
          </cell>
          <cell r="AI101">
            <v>5204</v>
          </cell>
          <cell r="AJ101">
            <v>5403</v>
          </cell>
          <cell r="AN101">
            <v>5106</v>
          </cell>
          <cell r="AO101">
            <v>5322</v>
          </cell>
          <cell r="AX101">
            <v>2741</v>
          </cell>
          <cell r="AY101">
            <v>1950</v>
          </cell>
          <cell r="BH101">
            <v>128</v>
          </cell>
          <cell r="BI101">
            <v>0</v>
          </cell>
          <cell r="BM101">
            <v>73</v>
          </cell>
          <cell r="BN101">
            <v>16</v>
          </cell>
          <cell r="BW101">
            <v>1122</v>
          </cell>
          <cell r="BX101">
            <v>537</v>
          </cell>
          <cell r="CB101">
            <v>1024</v>
          </cell>
          <cell r="CC101">
            <v>581</v>
          </cell>
          <cell r="CL101">
            <v>52</v>
          </cell>
          <cell r="CM101">
            <v>23</v>
          </cell>
          <cell r="CQ101">
            <v>202</v>
          </cell>
          <cell r="CR101">
            <v>91</v>
          </cell>
          <cell r="DF101">
            <v>164</v>
          </cell>
          <cell r="DG101">
            <v>227</v>
          </cell>
          <cell r="DP101">
            <v>26</v>
          </cell>
          <cell r="DQ101">
            <v>45</v>
          </cell>
          <cell r="EE101">
            <v>13559</v>
          </cell>
          <cell r="EF101">
            <v>15566</v>
          </cell>
          <cell r="ET101">
            <v>7796</v>
          </cell>
          <cell r="EU101">
            <v>9917</v>
          </cell>
          <cell r="FI101">
            <v>1476</v>
          </cell>
          <cell r="FJ101">
            <v>1486</v>
          </cell>
          <cell r="FS101">
            <v>35149</v>
          </cell>
          <cell r="FT101">
            <v>5121</v>
          </cell>
          <cell r="GR101">
            <v>2275</v>
          </cell>
          <cell r="GS101">
            <v>8014</v>
          </cell>
          <cell r="HB101">
            <v>2090</v>
          </cell>
          <cell r="HC101">
            <v>3275</v>
          </cell>
          <cell r="HQ101">
            <v>166</v>
          </cell>
          <cell r="HR101">
            <v>168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součet CHD a CHM"/>
      <sheetName val="APZ"/>
      <sheetName val="NUTS2"/>
      <sheetName val="List1"/>
      <sheetName val="List2"/>
    </sheetNames>
    <sheetDataSet>
      <sheetData sheetId="0">
        <row r="101">
          <cell r="E101">
            <v>3958</v>
          </cell>
          <cell r="F101">
            <v>5061</v>
          </cell>
          <cell r="J101">
            <v>3740</v>
          </cell>
          <cell r="K101">
            <v>5118</v>
          </cell>
          <cell r="T101">
            <v>299</v>
          </cell>
          <cell r="U101">
            <v>193</v>
          </cell>
          <cell r="Y101">
            <v>257</v>
          </cell>
          <cell r="Z101">
            <v>209</v>
          </cell>
          <cell r="AI101">
            <v>5375</v>
          </cell>
          <cell r="AJ101">
            <v>6085</v>
          </cell>
          <cell r="AN101">
            <v>5281</v>
          </cell>
          <cell r="AO101">
            <v>6004</v>
          </cell>
          <cell r="AX101">
            <v>2796</v>
          </cell>
          <cell r="AY101">
            <v>2178</v>
          </cell>
          <cell r="BH101">
            <v>75</v>
          </cell>
          <cell r="BI101">
            <v>0</v>
          </cell>
          <cell r="BM101">
            <v>38</v>
          </cell>
          <cell r="BN101">
            <v>20</v>
          </cell>
          <cell r="BW101">
            <v>1202</v>
          </cell>
          <cell r="BX101">
            <v>642</v>
          </cell>
          <cell r="CB101">
            <v>1071</v>
          </cell>
          <cell r="CC101">
            <v>659</v>
          </cell>
          <cell r="CL101">
            <v>47</v>
          </cell>
          <cell r="CM101">
            <v>23</v>
          </cell>
          <cell r="CQ101">
            <v>196</v>
          </cell>
          <cell r="CR101">
            <v>91</v>
          </cell>
          <cell r="DF101">
            <v>164</v>
          </cell>
          <cell r="DG101">
            <v>251</v>
          </cell>
          <cell r="DP101">
            <v>29</v>
          </cell>
          <cell r="DQ101">
            <v>52</v>
          </cell>
          <cell r="EE101">
            <v>11874</v>
          </cell>
          <cell r="EF101">
            <v>16102</v>
          </cell>
          <cell r="ET101">
            <v>7804</v>
          </cell>
          <cell r="EU101">
            <v>11325</v>
          </cell>
          <cell r="FI101">
            <v>1941</v>
          </cell>
          <cell r="FJ101">
            <v>2013</v>
          </cell>
          <cell r="FS101">
            <v>35670</v>
          </cell>
          <cell r="FT101">
            <v>6543</v>
          </cell>
          <cell r="GR101">
            <v>2189</v>
          </cell>
          <cell r="GS101">
            <v>8278</v>
          </cell>
          <cell r="HB101">
            <v>2410</v>
          </cell>
          <cell r="HC101">
            <v>4480</v>
          </cell>
          <cell r="HQ101">
            <v>601</v>
          </cell>
          <cell r="HR101">
            <v>610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součet CHD a CHM"/>
      <sheetName val="APZ"/>
      <sheetName val="NUTS2"/>
      <sheetName val="List1"/>
      <sheetName val="List2"/>
    </sheetNames>
    <sheetDataSet>
      <sheetData sheetId="0">
        <row r="101">
          <cell r="E101">
            <v>3484</v>
          </cell>
          <cell r="F101">
            <v>5132</v>
          </cell>
          <cell r="J101">
            <v>3286</v>
          </cell>
          <cell r="K101">
            <v>5232</v>
          </cell>
          <cell r="T101">
            <v>258</v>
          </cell>
          <cell r="U101">
            <v>205</v>
          </cell>
          <cell r="Y101">
            <v>217</v>
          </cell>
          <cell r="Z101">
            <v>222</v>
          </cell>
          <cell r="AI101">
            <v>4941</v>
          </cell>
          <cell r="AJ101">
            <v>6350</v>
          </cell>
          <cell r="AN101">
            <v>4855</v>
          </cell>
          <cell r="AO101">
            <v>6306</v>
          </cell>
          <cell r="AX101">
            <v>2776</v>
          </cell>
          <cell r="AY101">
            <v>2303</v>
          </cell>
          <cell r="BH101">
            <v>49</v>
          </cell>
          <cell r="BI101">
            <v>0</v>
          </cell>
          <cell r="BM101">
            <v>28</v>
          </cell>
          <cell r="BN101">
            <v>20</v>
          </cell>
          <cell r="BW101">
            <v>1208</v>
          </cell>
          <cell r="BX101">
            <v>681</v>
          </cell>
          <cell r="CB101">
            <v>1066</v>
          </cell>
          <cell r="CC101">
            <v>723</v>
          </cell>
          <cell r="CL101">
            <v>46</v>
          </cell>
          <cell r="CM101">
            <v>25</v>
          </cell>
          <cell r="CQ101">
            <v>119</v>
          </cell>
          <cell r="CR101">
            <v>92</v>
          </cell>
          <cell r="DF101">
            <v>152</v>
          </cell>
          <cell r="DG101">
            <v>270</v>
          </cell>
          <cell r="DP101">
            <v>24</v>
          </cell>
          <cell r="DQ101">
            <v>54</v>
          </cell>
          <cell r="EE101">
            <v>9897</v>
          </cell>
          <cell r="EF101">
            <v>16607</v>
          </cell>
          <cell r="ET101">
            <v>7922</v>
          </cell>
          <cell r="EU101">
            <v>12885</v>
          </cell>
          <cell r="FI101">
            <v>1940</v>
          </cell>
          <cell r="FJ101">
            <v>2216</v>
          </cell>
          <cell r="FS101">
            <v>37238</v>
          </cell>
          <cell r="FT101">
            <v>8399</v>
          </cell>
          <cell r="GR101">
            <v>1881</v>
          </cell>
          <cell r="GS101">
            <v>8420</v>
          </cell>
          <cell r="HB101">
            <v>2038</v>
          </cell>
          <cell r="HC101">
            <v>5141</v>
          </cell>
          <cell r="HQ101">
            <v>1065</v>
          </cell>
          <cell r="HR101">
            <v>1085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"/>
      <sheetName val="data AIS"/>
      <sheetName val="nez AIS"/>
      <sheetName val="nez OK"/>
      <sheetName val="nez"/>
      <sheetName val="NUTS2"/>
    </sheetNames>
    <sheetDataSet>
      <sheetData sheetId="0"/>
      <sheetData sheetId="1"/>
      <sheetData sheetId="2"/>
      <sheetData sheetId="3"/>
      <sheetData sheetId="4">
        <row r="11">
          <cell r="CP11">
            <v>52</v>
          </cell>
        </row>
        <row r="101">
          <cell r="CS101">
            <v>2009</v>
          </cell>
        </row>
      </sheetData>
      <sheetData sheetId="5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REKV01"/>
      <sheetName val="NUTS3"/>
      <sheetName val="kraje"/>
      <sheetName val="nuts2"/>
    </sheetNames>
    <sheetDataSet>
      <sheetData sheetId="0"/>
      <sheetData sheetId="1">
        <row r="101">
          <cell r="T101">
            <v>1228</v>
          </cell>
          <cell r="U101">
            <v>3957</v>
          </cell>
          <cell r="V101">
            <v>6688</v>
          </cell>
          <cell r="W101">
            <v>9825</v>
          </cell>
          <cell r="X101">
            <v>12714</v>
          </cell>
          <cell r="Y101">
            <v>14894</v>
          </cell>
          <cell r="Z101">
            <v>16321</v>
          </cell>
          <cell r="AA101">
            <v>17561</v>
          </cell>
          <cell r="AB101">
            <v>20503</v>
          </cell>
          <cell r="AC101">
            <v>23938</v>
          </cell>
          <cell r="AD101">
            <v>26979</v>
          </cell>
          <cell r="AE101">
            <v>27877</v>
          </cell>
        </row>
      </sheetData>
      <sheetData sheetId="2"/>
      <sheetData sheetId="3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"/>
      <sheetName val="data AIS"/>
      <sheetName val="nez AIS"/>
      <sheetName val="nez OK"/>
      <sheetName val="nez"/>
      <sheetName val="NUTS2"/>
    </sheetNames>
    <sheetDataSet>
      <sheetData sheetId="0"/>
      <sheetData sheetId="1"/>
      <sheetData sheetId="2"/>
      <sheetData sheetId="3"/>
      <sheetData sheetId="4">
        <row r="11">
          <cell r="CP11">
            <v>65</v>
          </cell>
        </row>
        <row r="101">
          <cell r="CS101">
            <v>3029</v>
          </cell>
        </row>
      </sheetData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APZ"/>
      <sheetName val="NUTS2"/>
    </sheetNames>
    <sheetDataSet>
      <sheetData sheetId="0">
        <row r="101">
          <cell r="E101">
            <v>8107</v>
          </cell>
          <cell r="F101">
            <v>7068</v>
          </cell>
          <cell r="J101">
            <v>7455</v>
          </cell>
          <cell r="K101">
            <v>6897</v>
          </cell>
          <cell r="T101">
            <v>489</v>
          </cell>
          <cell r="U101">
            <v>61</v>
          </cell>
          <cell r="Y101">
            <v>414</v>
          </cell>
          <cell r="Z101">
            <v>144</v>
          </cell>
          <cell r="AI101">
            <v>3345</v>
          </cell>
          <cell r="AJ101">
            <v>2612</v>
          </cell>
          <cell r="AN101">
            <v>3136</v>
          </cell>
          <cell r="AO101">
            <v>2489</v>
          </cell>
          <cell r="AX101">
            <v>4645</v>
          </cell>
          <cell r="AY101">
            <v>1174</v>
          </cell>
          <cell r="BH101">
            <v>1416</v>
          </cell>
          <cell r="BI101">
            <v>227</v>
          </cell>
          <cell r="BM101">
            <v>1173</v>
          </cell>
          <cell r="BN101">
            <v>319</v>
          </cell>
          <cell r="BW101">
            <v>995</v>
          </cell>
          <cell r="BX101">
            <v>168</v>
          </cell>
          <cell r="CB101">
            <v>912</v>
          </cell>
          <cell r="CC101">
            <v>274</v>
          </cell>
          <cell r="CL101">
            <v>92</v>
          </cell>
          <cell r="CM101">
            <v>19</v>
          </cell>
          <cell r="CQ101">
            <v>9115</v>
          </cell>
          <cell r="CR101">
            <v>7759</v>
          </cell>
          <cell r="DA101">
            <v>0</v>
          </cell>
          <cell r="DB101">
            <v>0</v>
          </cell>
          <cell r="DF101">
            <v>135</v>
          </cell>
          <cell r="DG101">
            <v>137</v>
          </cell>
          <cell r="DP101">
            <v>20</v>
          </cell>
          <cell r="DQ101">
            <v>22</v>
          </cell>
          <cell r="FI101">
            <v>3410</v>
          </cell>
          <cell r="FJ101">
            <v>2876</v>
          </cell>
          <cell r="FX101">
            <v>5057</v>
          </cell>
          <cell r="FY101">
            <v>4331</v>
          </cell>
          <cell r="GM101">
            <v>333</v>
          </cell>
          <cell r="GN101">
            <v>205</v>
          </cell>
        </row>
      </sheetData>
      <sheetData sheetId="1"/>
      <sheetData sheetId="2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"/>
      <sheetName val="data AIS"/>
      <sheetName val="nez AIS"/>
      <sheetName val="nez OK"/>
      <sheetName val="nez"/>
      <sheetName val="NUTS2"/>
    </sheetNames>
    <sheetDataSet>
      <sheetData sheetId="0"/>
      <sheetData sheetId="1"/>
      <sheetData sheetId="2"/>
      <sheetData sheetId="3"/>
      <sheetData sheetId="4">
        <row r="11">
          <cell r="CP11">
            <v>57</v>
          </cell>
        </row>
        <row r="101">
          <cell r="CS101">
            <v>3283</v>
          </cell>
        </row>
      </sheetData>
      <sheetData sheetId="5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"/>
      <sheetName val="data AIS"/>
      <sheetName val="nez AIS"/>
      <sheetName val="nez OK"/>
      <sheetName val="VM"/>
      <sheetName val="nez"/>
      <sheetName val="NUTS2"/>
    </sheetNames>
    <sheetDataSet>
      <sheetData sheetId="0"/>
      <sheetData sheetId="1"/>
      <sheetData sheetId="2"/>
      <sheetData sheetId="3"/>
      <sheetData sheetId="4"/>
      <sheetData sheetId="5">
        <row r="11">
          <cell r="CP11">
            <v>62</v>
          </cell>
        </row>
        <row r="101">
          <cell r="CS101">
            <v>3722</v>
          </cell>
        </row>
      </sheetData>
      <sheetData sheetId="6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"/>
      <sheetName val="data AIS"/>
      <sheetName val="nez AIS"/>
      <sheetName val="nez OK"/>
      <sheetName val="VM"/>
      <sheetName val="nez"/>
      <sheetName val="NUTS2"/>
    </sheetNames>
    <sheetDataSet>
      <sheetData sheetId="0"/>
      <sheetData sheetId="1"/>
      <sheetData sheetId="2"/>
      <sheetData sheetId="3"/>
      <sheetData sheetId="4"/>
      <sheetData sheetId="5">
        <row r="11">
          <cell r="CP11">
            <v>56</v>
          </cell>
        </row>
        <row r="101">
          <cell r="CS101">
            <v>3622</v>
          </cell>
        </row>
      </sheetData>
      <sheetData sheetId="6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"/>
      <sheetName val="data AIS"/>
      <sheetName val="nez AIS"/>
      <sheetName val="nez OK"/>
      <sheetName val="VM"/>
      <sheetName val="nez"/>
      <sheetName val="NUTS2"/>
    </sheetNames>
    <sheetDataSet>
      <sheetData sheetId="0"/>
      <sheetData sheetId="1"/>
      <sheetData sheetId="2"/>
      <sheetData sheetId="3"/>
      <sheetData sheetId="4"/>
      <sheetData sheetId="5">
        <row r="11">
          <cell r="CP11">
            <v>36</v>
          </cell>
        </row>
        <row r="101">
          <cell r="CS101">
            <v>2461</v>
          </cell>
        </row>
      </sheetData>
      <sheetData sheetId="6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"/>
      <sheetName val="data AIS"/>
      <sheetName val="nez AIS"/>
      <sheetName val="nez OK"/>
      <sheetName val="VM"/>
      <sheetName val="nez"/>
      <sheetName val="NUTS2"/>
    </sheetNames>
    <sheetDataSet>
      <sheetData sheetId="0"/>
      <sheetData sheetId="1"/>
      <sheetData sheetId="2"/>
      <sheetData sheetId="3"/>
      <sheetData sheetId="4"/>
      <sheetData sheetId="5">
        <row r="11">
          <cell r="CP11">
            <v>32</v>
          </cell>
        </row>
        <row r="101">
          <cell r="CS101">
            <v>1641</v>
          </cell>
        </row>
      </sheetData>
      <sheetData sheetId="6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"/>
      <sheetName val="data AIS"/>
      <sheetName val="nez AIS"/>
      <sheetName val="nez OK"/>
      <sheetName val="VM"/>
      <sheetName val="nez"/>
      <sheetName val="NUTS2"/>
      <sheetName val="MN a nový ukaz"/>
      <sheetName val="obyv a nez 15-64"/>
    </sheetNames>
    <sheetDataSet>
      <sheetData sheetId="0"/>
      <sheetData sheetId="1"/>
      <sheetData sheetId="2"/>
      <sheetData sheetId="3"/>
      <sheetData sheetId="4"/>
      <sheetData sheetId="5">
        <row r="11">
          <cell r="CP11">
            <v>37</v>
          </cell>
        </row>
        <row r="101">
          <cell r="CS101">
            <v>1461</v>
          </cell>
        </row>
      </sheetData>
      <sheetData sheetId="6"/>
      <sheetData sheetId="7"/>
      <sheetData sheetId="8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"/>
      <sheetName val="data AIS"/>
      <sheetName val="nez AIS"/>
      <sheetName val="nez OK"/>
      <sheetName val="VM"/>
      <sheetName val="nez"/>
      <sheetName val="NUTS2"/>
    </sheetNames>
    <sheetDataSet>
      <sheetData sheetId="0"/>
      <sheetData sheetId="1"/>
      <sheetData sheetId="2"/>
      <sheetData sheetId="3"/>
      <sheetData sheetId="4"/>
      <sheetData sheetId="5">
        <row r="11">
          <cell r="CP11">
            <v>58</v>
          </cell>
        </row>
        <row r="101">
          <cell r="CS101">
            <v>2917</v>
          </cell>
        </row>
      </sheetData>
      <sheetData sheetId="6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"/>
      <sheetName val="data AIS"/>
      <sheetName val="nez AIS"/>
      <sheetName val="nez OK"/>
      <sheetName val="nez"/>
      <sheetName val="NUTS2"/>
      <sheetName val="MN a nový ukaz"/>
      <sheetName val="obyv a nez 15-64"/>
    </sheetNames>
    <sheetDataSet>
      <sheetData sheetId="0"/>
      <sheetData sheetId="1"/>
      <sheetData sheetId="2"/>
      <sheetData sheetId="3"/>
      <sheetData sheetId="4">
        <row r="11">
          <cell r="CP11">
            <v>44</v>
          </cell>
        </row>
        <row r="101">
          <cell r="CS101">
            <v>3836</v>
          </cell>
        </row>
      </sheetData>
      <sheetData sheetId="5"/>
      <sheetData sheetId="6"/>
      <sheetData sheetId="7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"/>
      <sheetName val="data AIS"/>
      <sheetName val="nez AIS"/>
      <sheetName val="nez OK"/>
      <sheetName val="VM"/>
      <sheetName val="nez"/>
      <sheetName val="MN a nový ukaz"/>
      <sheetName val="obyv a nez 15-64"/>
      <sheetName val="NUTS2"/>
    </sheetNames>
    <sheetDataSet>
      <sheetData sheetId="0"/>
      <sheetData sheetId="1"/>
      <sheetData sheetId="2"/>
      <sheetData sheetId="3"/>
      <sheetData sheetId="4"/>
      <sheetData sheetId="5">
        <row r="11">
          <cell r="CP11">
            <v>107</v>
          </cell>
        </row>
        <row r="101">
          <cell r="CS101">
            <v>3398</v>
          </cell>
        </row>
      </sheetData>
      <sheetData sheetId="6"/>
      <sheetData sheetId="7"/>
      <sheetData sheetId="8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"/>
      <sheetName val="data AIS"/>
      <sheetName val="nez AIS"/>
      <sheetName val="nez OK"/>
      <sheetName val="VM"/>
      <sheetName val="nez"/>
      <sheetName val="NUTS2"/>
    </sheetNames>
    <sheetDataSet>
      <sheetData sheetId="0"/>
      <sheetData sheetId="1"/>
      <sheetData sheetId="2"/>
      <sheetData sheetId="3"/>
      <sheetData sheetId="4"/>
      <sheetData sheetId="5">
        <row r="11">
          <cell r="CP11">
            <v>47</v>
          </cell>
        </row>
        <row r="101">
          <cell r="CS101">
            <v>1499</v>
          </cell>
        </row>
      </sheetData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APZ"/>
      <sheetName val="NUTS2"/>
    </sheetNames>
    <sheetDataSet>
      <sheetData sheetId="0">
        <row r="101">
          <cell r="E101">
            <v>8657</v>
          </cell>
          <cell r="F101">
            <v>8102</v>
          </cell>
          <cell r="J101">
            <v>7887</v>
          </cell>
          <cell r="K101">
            <v>7966</v>
          </cell>
          <cell r="T101">
            <v>477</v>
          </cell>
          <cell r="U101">
            <v>71</v>
          </cell>
          <cell r="Y101">
            <v>404</v>
          </cell>
          <cell r="Z101">
            <v>163</v>
          </cell>
          <cell r="AI101">
            <v>3698</v>
          </cell>
          <cell r="AJ101">
            <v>3449</v>
          </cell>
          <cell r="AN101">
            <v>3492</v>
          </cell>
          <cell r="AO101">
            <v>3302</v>
          </cell>
          <cell r="AX101">
            <v>4638</v>
          </cell>
          <cell r="AY101">
            <v>1436</v>
          </cell>
          <cell r="BH101">
            <v>1405</v>
          </cell>
          <cell r="BI101">
            <v>259</v>
          </cell>
          <cell r="BM101">
            <v>1176</v>
          </cell>
          <cell r="BN101">
            <v>403</v>
          </cell>
          <cell r="BW101">
            <v>979</v>
          </cell>
          <cell r="BX101">
            <v>192</v>
          </cell>
          <cell r="CB101">
            <v>905</v>
          </cell>
          <cell r="CC101">
            <v>325</v>
          </cell>
          <cell r="CL101">
            <v>96</v>
          </cell>
          <cell r="CM101">
            <v>27</v>
          </cell>
          <cell r="CQ101">
            <v>9187</v>
          </cell>
          <cell r="CR101">
            <v>7833</v>
          </cell>
          <cell r="DA101">
            <v>0</v>
          </cell>
          <cell r="DB101">
            <v>0</v>
          </cell>
          <cell r="DF101">
            <v>171</v>
          </cell>
          <cell r="DG101">
            <v>185</v>
          </cell>
          <cell r="DP101">
            <v>22</v>
          </cell>
          <cell r="DQ101">
            <v>31</v>
          </cell>
          <cell r="FI101">
            <v>3173</v>
          </cell>
          <cell r="FJ101">
            <v>2944</v>
          </cell>
          <cell r="FX101">
            <v>3797</v>
          </cell>
          <cell r="FY101">
            <v>4378</v>
          </cell>
          <cell r="GM101">
            <v>341</v>
          </cell>
          <cell r="GN101">
            <v>251</v>
          </cell>
        </row>
      </sheetData>
      <sheetData sheetId="1"/>
      <sheetData sheetId="2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R"/>
    </sheetNames>
    <sheetDataSet>
      <sheetData sheetId="0">
        <row r="26">
          <cell r="AH26" t="str">
            <v>VPP</v>
          </cell>
          <cell r="AJ26">
            <v>2964</v>
          </cell>
        </row>
        <row r="27">
          <cell r="AH27" t="str">
            <v>SÚPM vč.SVČ</v>
          </cell>
          <cell r="AJ27">
            <v>4610</v>
          </cell>
        </row>
        <row r="28">
          <cell r="AH28" t="str">
            <v>CHPM vč. SVČ</v>
          </cell>
          <cell r="AJ28">
            <v>468</v>
          </cell>
        </row>
        <row r="29">
          <cell r="AH29" t="str">
            <v>ESF VPP</v>
          </cell>
          <cell r="AJ29">
            <v>14036</v>
          </cell>
        </row>
        <row r="30">
          <cell r="AH30" t="str">
            <v>ESF SÚPM</v>
          </cell>
          <cell r="AJ30">
            <v>9836</v>
          </cell>
        </row>
        <row r="31">
          <cell r="AH31" t="str">
            <v>ESF CP (RIP)</v>
          </cell>
          <cell r="AJ31">
            <v>4291</v>
          </cell>
        </row>
        <row r="32">
          <cell r="AH32" t="str">
            <v>REKV</v>
          </cell>
          <cell r="AJ32">
            <v>12521</v>
          </cell>
        </row>
        <row r="33">
          <cell r="AH33" t="str">
            <v>Zvolená rekv.</v>
          </cell>
          <cell r="AJ33">
            <v>12460</v>
          </cell>
        </row>
        <row r="34">
          <cell r="AH34" t="str">
            <v>přísp. na provoz CHPM a CHPM-SVČ</v>
          </cell>
          <cell r="AJ34">
            <v>95</v>
          </cell>
        </row>
        <row r="35">
          <cell r="AH35" t="str">
            <v>přísp. na zapracování</v>
          </cell>
          <cell r="AJ35">
            <v>30</v>
          </cell>
        </row>
        <row r="36">
          <cell r="AH36" t="str">
            <v>překlenovací přísp.</v>
          </cell>
          <cell r="AJ36">
            <v>106</v>
          </cell>
        </row>
        <row r="37">
          <cell r="AH37" t="str">
            <v>APP</v>
          </cell>
          <cell r="AJ37">
            <v>452</v>
          </cell>
        </row>
      </sheetData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součet CHD a CHM"/>
      <sheetName val="APZ"/>
      <sheetName val="NUTS2"/>
      <sheetName val="výpočty ROČENKA 2013"/>
      <sheetName val="součet RIP a RIP Odborná praxe"/>
      <sheetName val="List1"/>
    </sheetNames>
    <sheetDataSet>
      <sheetData sheetId="0">
        <row r="101">
          <cell r="A101" t="str">
            <v>Celkem ČR</v>
          </cell>
          <cell r="E101">
            <v>3020</v>
          </cell>
          <cell r="F101">
            <v>50</v>
          </cell>
          <cell r="J101">
            <v>2813</v>
          </cell>
          <cell r="K101">
            <v>46</v>
          </cell>
          <cell r="T101">
            <v>197</v>
          </cell>
          <cell r="U101">
            <v>1</v>
          </cell>
          <cell r="Y101">
            <v>228</v>
          </cell>
          <cell r="Z101">
            <v>77</v>
          </cell>
          <cell r="AI101">
            <v>4145</v>
          </cell>
          <cell r="AJ101">
            <v>122</v>
          </cell>
          <cell r="AN101">
            <v>4050</v>
          </cell>
          <cell r="AO101">
            <v>117</v>
          </cell>
          <cell r="AX101">
            <v>2751</v>
          </cell>
          <cell r="AY101">
            <v>72</v>
          </cell>
          <cell r="BH101">
            <v>49</v>
          </cell>
          <cell r="BI101">
            <v>0</v>
          </cell>
          <cell r="BM101">
            <v>28</v>
          </cell>
          <cell r="BN101">
            <v>0</v>
          </cell>
          <cell r="BW101">
            <v>1206</v>
          </cell>
          <cell r="BX101">
            <v>0</v>
          </cell>
          <cell r="CB101">
            <v>1111</v>
          </cell>
          <cell r="CC101">
            <v>62</v>
          </cell>
          <cell r="CL101">
            <v>45</v>
          </cell>
          <cell r="CM101">
            <v>0</v>
          </cell>
          <cell r="CQ101">
            <v>74</v>
          </cell>
          <cell r="CR101">
            <v>21</v>
          </cell>
          <cell r="DF101">
            <v>129</v>
          </cell>
          <cell r="DG101">
            <v>6</v>
          </cell>
          <cell r="DP101">
            <v>21</v>
          </cell>
          <cell r="DQ101">
            <v>2</v>
          </cell>
          <cell r="EE101">
            <v>8873</v>
          </cell>
          <cell r="EF101">
            <v>350</v>
          </cell>
          <cell r="ET101">
            <v>8204</v>
          </cell>
          <cell r="EU101">
            <v>978</v>
          </cell>
          <cell r="FI101">
            <v>2039</v>
          </cell>
          <cell r="FJ101">
            <v>148</v>
          </cell>
          <cell r="FS101">
            <v>38498</v>
          </cell>
          <cell r="FT101">
            <v>1290</v>
          </cell>
          <cell r="GR101">
            <v>4130</v>
          </cell>
          <cell r="GS101">
            <v>2396</v>
          </cell>
          <cell r="HB101">
            <v>2674</v>
          </cell>
          <cell r="HC101">
            <v>1363</v>
          </cell>
          <cell r="HQ101">
            <v>1387</v>
          </cell>
          <cell r="HR101">
            <v>364</v>
          </cell>
          <cell r="IA101">
            <v>1821</v>
          </cell>
          <cell r="IB101">
            <v>1047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součet CHD a CHM"/>
      <sheetName val="APZ"/>
      <sheetName val="NUTS2"/>
    </sheetNames>
    <sheetDataSet>
      <sheetData sheetId="0">
        <row r="101">
          <cell r="E101">
            <v>2955</v>
          </cell>
          <cell r="F101">
            <v>309</v>
          </cell>
          <cell r="J101">
            <v>2643</v>
          </cell>
          <cell r="K101">
            <v>192</v>
          </cell>
          <cell r="T101">
            <v>135</v>
          </cell>
          <cell r="U101">
            <v>9</v>
          </cell>
          <cell r="Y101">
            <v>200</v>
          </cell>
          <cell r="Z101">
            <v>98</v>
          </cell>
          <cell r="AI101">
            <v>3999</v>
          </cell>
          <cell r="AJ101">
            <v>666</v>
          </cell>
          <cell r="AN101">
            <v>3906</v>
          </cell>
          <cell r="AO101">
            <v>668</v>
          </cell>
          <cell r="AX101">
            <v>2744</v>
          </cell>
          <cell r="AY101">
            <v>198</v>
          </cell>
          <cell r="BH101">
            <v>12</v>
          </cell>
          <cell r="BI101">
            <v>0</v>
          </cell>
          <cell r="BM101">
            <v>1</v>
          </cell>
          <cell r="BN101">
            <v>0</v>
          </cell>
          <cell r="BW101">
            <v>1238</v>
          </cell>
          <cell r="BX101">
            <v>52</v>
          </cell>
          <cell r="CB101">
            <v>1142</v>
          </cell>
          <cell r="CC101">
            <v>117</v>
          </cell>
          <cell r="CL101">
            <v>49</v>
          </cell>
          <cell r="CM101">
            <v>4</v>
          </cell>
          <cell r="CQ101">
            <v>93</v>
          </cell>
          <cell r="CR101">
            <v>79</v>
          </cell>
          <cell r="DF101">
            <v>122</v>
          </cell>
          <cell r="DG101">
            <v>13</v>
          </cell>
          <cell r="DP101">
            <v>17</v>
          </cell>
          <cell r="DQ101">
            <v>2</v>
          </cell>
          <cell r="EE101">
            <v>8004</v>
          </cell>
          <cell r="EF101">
            <v>632</v>
          </cell>
          <cell r="ET101">
            <v>7547</v>
          </cell>
          <cell r="EU101">
            <v>1238</v>
          </cell>
          <cell r="FI101">
            <v>2110</v>
          </cell>
          <cell r="FJ101">
            <v>282</v>
          </cell>
          <cell r="FS101">
            <v>38844</v>
          </cell>
          <cell r="FT101">
            <v>1690</v>
          </cell>
          <cell r="GR101">
            <v>4824</v>
          </cell>
          <cell r="GS101">
            <v>3465</v>
          </cell>
          <cell r="HB101">
            <v>2847</v>
          </cell>
          <cell r="HC101">
            <v>2221</v>
          </cell>
          <cell r="HQ101">
            <v>2012</v>
          </cell>
          <cell r="HR101">
            <v>1014</v>
          </cell>
          <cell r="IA101">
            <v>2894</v>
          </cell>
          <cell r="IB101">
            <v>3433</v>
          </cell>
        </row>
      </sheetData>
      <sheetData sheetId="1"/>
      <sheetData sheetId="2"/>
      <sheetData sheetId="3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součet CHD a CHM"/>
      <sheetName val="APZ"/>
      <sheetName val="NUTS2"/>
    </sheetNames>
    <sheetDataSet>
      <sheetData sheetId="0">
        <row r="101">
          <cell r="E101">
            <v>3309</v>
          </cell>
          <cell r="F101">
            <v>1309</v>
          </cell>
          <cell r="J101">
            <v>2736</v>
          </cell>
          <cell r="K101">
            <v>902</v>
          </cell>
          <cell r="T101">
            <v>135</v>
          </cell>
          <cell r="U101">
            <v>9</v>
          </cell>
          <cell r="Y101">
            <v>199</v>
          </cell>
          <cell r="Z101">
            <v>98</v>
          </cell>
          <cell r="AI101">
            <v>4304</v>
          </cell>
          <cell r="AJ101">
            <v>1493</v>
          </cell>
          <cell r="AN101">
            <v>4179</v>
          </cell>
          <cell r="AO101">
            <v>1514</v>
          </cell>
          <cell r="AX101">
            <v>2835</v>
          </cell>
          <cell r="AY101">
            <v>437</v>
          </cell>
          <cell r="BH101">
            <v>12</v>
          </cell>
          <cell r="BI101">
            <v>0</v>
          </cell>
          <cell r="BM101">
            <v>1</v>
          </cell>
          <cell r="BN101">
            <v>0</v>
          </cell>
          <cell r="BW101">
            <v>1281</v>
          </cell>
          <cell r="BX101">
            <v>103</v>
          </cell>
          <cell r="CB101">
            <v>1169</v>
          </cell>
          <cell r="CC101">
            <v>171</v>
          </cell>
          <cell r="CL101">
            <v>49</v>
          </cell>
          <cell r="CM101">
            <v>5</v>
          </cell>
          <cell r="CQ101">
            <v>99</v>
          </cell>
          <cell r="CR101">
            <v>85</v>
          </cell>
          <cell r="DF101">
            <v>118</v>
          </cell>
          <cell r="DG101">
            <v>31</v>
          </cell>
          <cell r="DP101">
            <v>16</v>
          </cell>
          <cell r="DQ101">
            <v>3</v>
          </cell>
          <cell r="EE101">
            <v>7186</v>
          </cell>
          <cell r="EF101">
            <v>2200</v>
          </cell>
          <cell r="ET101">
            <v>7767</v>
          </cell>
          <cell r="EU101">
            <v>2568</v>
          </cell>
          <cell r="FI101">
            <v>2101</v>
          </cell>
          <cell r="FJ101">
            <v>438</v>
          </cell>
          <cell r="FS101">
            <v>39497</v>
          </cell>
          <cell r="FT101">
            <v>2353</v>
          </cell>
          <cell r="GR101">
            <v>4701</v>
          </cell>
          <cell r="GS101">
            <v>3988</v>
          </cell>
          <cell r="HB101">
            <v>3571</v>
          </cell>
          <cell r="HC101">
            <v>3704</v>
          </cell>
          <cell r="HQ101">
            <v>2614</v>
          </cell>
          <cell r="HR101">
            <v>1639</v>
          </cell>
          <cell r="IA101">
            <v>3766</v>
          </cell>
          <cell r="IB101">
            <v>6481</v>
          </cell>
          <cell r="IF101">
            <v>44</v>
          </cell>
          <cell r="IG101">
            <v>44</v>
          </cell>
          <cell r="IK101">
            <v>8</v>
          </cell>
          <cell r="IL101">
            <v>8</v>
          </cell>
        </row>
      </sheetData>
      <sheetData sheetId="1"/>
      <sheetData sheetId="2"/>
      <sheetData sheetId="3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součet CHD a CHM"/>
      <sheetName val="APZ"/>
      <sheetName val="NUTS2"/>
    </sheetNames>
    <sheetDataSet>
      <sheetData sheetId="0">
        <row r="101">
          <cell r="E101">
            <v>3669</v>
          </cell>
          <cell r="F101">
            <v>2151</v>
          </cell>
          <cell r="J101">
            <v>3266</v>
          </cell>
          <cell r="K101">
            <v>1903</v>
          </cell>
          <cell r="T101">
            <v>146</v>
          </cell>
          <cell r="U101">
            <v>20</v>
          </cell>
          <cell r="Y101">
            <v>200</v>
          </cell>
          <cell r="Z101">
            <v>100</v>
          </cell>
          <cell r="AI101">
            <v>4369</v>
          </cell>
          <cell r="AJ101">
            <v>2010</v>
          </cell>
          <cell r="AN101">
            <v>4244</v>
          </cell>
          <cell r="AO101">
            <v>2033</v>
          </cell>
          <cell r="AX101">
            <v>2943</v>
          </cell>
          <cell r="AY101">
            <v>723</v>
          </cell>
          <cell r="BH101">
            <v>11</v>
          </cell>
          <cell r="BI101">
            <v>0</v>
          </cell>
          <cell r="BM101">
            <v>0</v>
          </cell>
          <cell r="BN101">
            <v>0</v>
          </cell>
          <cell r="BW101">
            <v>1431</v>
          </cell>
          <cell r="BX101">
            <v>260</v>
          </cell>
          <cell r="CB101">
            <v>1233</v>
          </cell>
          <cell r="CC101">
            <v>253</v>
          </cell>
          <cell r="CL101">
            <v>50</v>
          </cell>
          <cell r="CM101">
            <v>6</v>
          </cell>
          <cell r="CQ101">
            <v>104</v>
          </cell>
          <cell r="CR101">
            <v>91</v>
          </cell>
          <cell r="DF101">
            <v>129</v>
          </cell>
          <cell r="DG101">
            <v>60</v>
          </cell>
          <cell r="DP101">
            <v>37</v>
          </cell>
          <cell r="DQ101">
            <v>25</v>
          </cell>
          <cell r="EE101">
            <v>11631</v>
          </cell>
          <cell r="EF101">
            <v>8328</v>
          </cell>
          <cell r="ET101">
            <v>8819</v>
          </cell>
          <cell r="EU101">
            <v>5028</v>
          </cell>
          <cell r="FI101">
            <v>2292</v>
          </cell>
          <cell r="FJ101">
            <v>772</v>
          </cell>
          <cell r="FS101">
            <v>39865</v>
          </cell>
          <cell r="FT101">
            <v>2835</v>
          </cell>
          <cell r="GR101">
            <v>4415</v>
          </cell>
          <cell r="GS101">
            <v>4235</v>
          </cell>
          <cell r="HB101">
            <v>4165</v>
          </cell>
          <cell r="HC101">
            <v>5306</v>
          </cell>
          <cell r="HQ101">
            <v>3072</v>
          </cell>
          <cell r="HR101">
            <v>2127</v>
          </cell>
          <cell r="IA101">
            <v>3556</v>
          </cell>
          <cell r="IB101">
            <v>8824</v>
          </cell>
          <cell r="IF101">
            <v>167</v>
          </cell>
          <cell r="IG101">
            <v>167</v>
          </cell>
          <cell r="IK101">
            <v>69</v>
          </cell>
          <cell r="IL101">
            <v>71</v>
          </cell>
        </row>
      </sheetData>
      <sheetData sheetId="1"/>
      <sheetData sheetId="2"/>
      <sheetData sheetId="3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součet CHD a CHM"/>
      <sheetName val="APZ"/>
      <sheetName val="NUTS2"/>
    </sheetNames>
    <sheetDataSet>
      <sheetData sheetId="0">
        <row r="101">
          <cell r="E101">
            <v>3948</v>
          </cell>
          <cell r="F101">
            <v>2612</v>
          </cell>
          <cell r="J101">
            <v>3563</v>
          </cell>
          <cell r="K101">
            <v>2405</v>
          </cell>
          <cell r="T101">
            <v>153</v>
          </cell>
          <cell r="U101">
            <v>30</v>
          </cell>
          <cell r="Y101">
            <v>205</v>
          </cell>
          <cell r="Z101">
            <v>108</v>
          </cell>
          <cell r="AI101">
            <v>4615</v>
          </cell>
          <cell r="AJ101">
            <v>2510</v>
          </cell>
          <cell r="AN101">
            <v>4485</v>
          </cell>
          <cell r="AO101">
            <v>2530</v>
          </cell>
          <cell r="AX101">
            <v>2985</v>
          </cell>
          <cell r="AY101">
            <v>961</v>
          </cell>
          <cell r="BH101">
            <v>11</v>
          </cell>
          <cell r="BI101">
            <v>0</v>
          </cell>
          <cell r="BM101">
            <v>0</v>
          </cell>
          <cell r="BN101">
            <v>0</v>
          </cell>
          <cell r="BW101">
            <v>1511</v>
          </cell>
          <cell r="BX101">
            <v>347</v>
          </cell>
          <cell r="CB101">
            <v>1313</v>
          </cell>
          <cell r="CC101">
            <v>352</v>
          </cell>
          <cell r="CL101">
            <v>53</v>
          </cell>
          <cell r="CM101">
            <v>10</v>
          </cell>
          <cell r="CQ101">
            <v>107</v>
          </cell>
          <cell r="CR101">
            <v>94</v>
          </cell>
          <cell r="DF101">
            <v>137</v>
          </cell>
          <cell r="DG101">
            <v>84</v>
          </cell>
          <cell r="DP101">
            <v>36</v>
          </cell>
          <cell r="DQ101">
            <v>25</v>
          </cell>
          <cell r="EE101">
            <v>14313</v>
          </cell>
          <cell r="EF101">
            <v>12368</v>
          </cell>
          <cell r="ET101">
            <v>10139</v>
          </cell>
          <cell r="EU101">
            <v>7764</v>
          </cell>
          <cell r="FI101">
            <v>2555</v>
          </cell>
          <cell r="FJ101">
            <v>1067</v>
          </cell>
          <cell r="FS101">
            <v>40183</v>
          </cell>
          <cell r="FT101">
            <v>3208</v>
          </cell>
          <cell r="GR101">
            <v>4189</v>
          </cell>
          <cell r="GS101">
            <v>4397</v>
          </cell>
          <cell r="HB101">
            <v>4424</v>
          </cell>
          <cell r="HC101">
            <v>6678</v>
          </cell>
          <cell r="HQ101">
            <v>3424</v>
          </cell>
          <cell r="HR101">
            <v>2528</v>
          </cell>
          <cell r="IA101">
            <v>3298</v>
          </cell>
          <cell r="IB101">
            <v>10878</v>
          </cell>
          <cell r="IF101">
            <v>312</v>
          </cell>
          <cell r="IG101">
            <v>314</v>
          </cell>
          <cell r="IK101">
            <v>219</v>
          </cell>
          <cell r="IL101">
            <v>224</v>
          </cell>
        </row>
      </sheetData>
      <sheetData sheetId="1"/>
      <sheetData sheetId="2"/>
      <sheetData sheetId="3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součet CHD a CHM"/>
      <sheetName val="APZ"/>
      <sheetName val="NUTS2"/>
    </sheetNames>
    <sheetDataSet>
      <sheetData sheetId="0">
        <row r="101">
          <cell r="E101">
            <v>4121</v>
          </cell>
          <cell r="F101">
            <v>3148</v>
          </cell>
          <cell r="J101">
            <v>3738</v>
          </cell>
          <cell r="K101">
            <v>2964</v>
          </cell>
          <cell r="T101">
            <v>151</v>
          </cell>
          <cell r="U101">
            <v>33</v>
          </cell>
          <cell r="Y101">
            <v>208</v>
          </cell>
          <cell r="Z101">
            <v>116</v>
          </cell>
          <cell r="AI101">
            <v>5133</v>
          </cell>
          <cell r="AJ101">
            <v>3289</v>
          </cell>
          <cell r="AN101">
            <v>5006</v>
          </cell>
          <cell r="AO101">
            <v>3317</v>
          </cell>
          <cell r="AX101">
            <v>3028</v>
          </cell>
          <cell r="AY101">
            <v>1177</v>
          </cell>
          <cell r="BH101">
            <v>11</v>
          </cell>
          <cell r="BI101">
            <v>0</v>
          </cell>
          <cell r="BM101">
            <v>0</v>
          </cell>
          <cell r="BN101">
            <v>0</v>
          </cell>
          <cell r="BW101">
            <v>1553</v>
          </cell>
          <cell r="BX101">
            <v>410</v>
          </cell>
          <cell r="CB101">
            <v>1376</v>
          </cell>
          <cell r="CC101">
            <v>458</v>
          </cell>
          <cell r="CL101">
            <v>53</v>
          </cell>
          <cell r="CM101">
            <v>10</v>
          </cell>
          <cell r="CQ101">
            <v>108</v>
          </cell>
          <cell r="CR101">
            <v>95</v>
          </cell>
          <cell r="DF101">
            <v>149</v>
          </cell>
          <cell r="DG101">
            <v>106</v>
          </cell>
          <cell r="DP101">
            <v>41</v>
          </cell>
          <cell r="DQ101">
            <v>30</v>
          </cell>
          <cell r="EE101">
            <v>15093</v>
          </cell>
          <cell r="EF101">
            <v>14036</v>
          </cell>
          <cell r="ET101">
            <v>10798</v>
          </cell>
          <cell r="EU101">
            <v>9836</v>
          </cell>
          <cell r="FI101">
            <v>2818</v>
          </cell>
          <cell r="FJ101">
            <v>1390</v>
          </cell>
          <cell r="FS101">
            <v>40411</v>
          </cell>
          <cell r="FT101">
            <v>3560</v>
          </cell>
          <cell r="GR101">
            <v>3986</v>
          </cell>
          <cell r="GS101">
            <v>4567</v>
          </cell>
          <cell r="HB101">
            <v>4292</v>
          </cell>
          <cell r="HC101">
            <v>7893</v>
          </cell>
          <cell r="HQ101">
            <v>3738</v>
          </cell>
          <cell r="HR101">
            <v>2901</v>
          </cell>
          <cell r="IA101">
            <v>2552</v>
          </cell>
          <cell r="IB101">
            <v>12521</v>
          </cell>
          <cell r="IF101">
            <v>609</v>
          </cell>
          <cell r="IG101">
            <v>617</v>
          </cell>
          <cell r="IK101">
            <v>418</v>
          </cell>
          <cell r="IL101">
            <v>452</v>
          </cell>
        </row>
      </sheetData>
      <sheetData sheetId="1"/>
      <sheetData sheetId="2"/>
      <sheetData sheetId="3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součet CHD a CHM"/>
      <sheetName val="APZ"/>
      <sheetName val="NUTS2"/>
    </sheetNames>
    <sheetDataSet>
      <sheetData sheetId="0">
        <row r="101">
          <cell r="E101">
            <v>4133</v>
          </cell>
          <cell r="F101">
            <v>3428</v>
          </cell>
          <cell r="J101">
            <v>3864</v>
          </cell>
          <cell r="K101">
            <v>3380</v>
          </cell>
          <cell r="T101">
            <v>156</v>
          </cell>
          <cell r="U101">
            <v>46</v>
          </cell>
          <cell r="Y101">
            <v>207</v>
          </cell>
          <cell r="Z101">
            <v>128</v>
          </cell>
          <cell r="AI101">
            <v>5711</v>
          </cell>
          <cell r="AJ101">
            <v>4154</v>
          </cell>
          <cell r="AN101">
            <v>5596</v>
          </cell>
          <cell r="AO101">
            <v>4179</v>
          </cell>
          <cell r="AX101">
            <v>3068</v>
          </cell>
          <cell r="AY101">
            <v>1379</v>
          </cell>
          <cell r="BH101">
            <v>11</v>
          </cell>
          <cell r="BI101">
            <v>0</v>
          </cell>
          <cell r="BM101">
            <v>0</v>
          </cell>
          <cell r="BN101">
            <v>0</v>
          </cell>
          <cell r="BW101">
            <v>1666</v>
          </cell>
          <cell r="BX101">
            <v>523</v>
          </cell>
          <cell r="CB101">
            <v>1440</v>
          </cell>
          <cell r="CC101">
            <v>535</v>
          </cell>
          <cell r="CL101">
            <v>55</v>
          </cell>
          <cell r="CM101">
            <v>13</v>
          </cell>
          <cell r="CQ101">
            <v>114</v>
          </cell>
          <cell r="CR101">
            <v>101</v>
          </cell>
          <cell r="DF101">
            <v>175</v>
          </cell>
          <cell r="DG101">
            <v>144</v>
          </cell>
          <cell r="DP101">
            <v>42</v>
          </cell>
          <cell r="DQ101">
            <v>31</v>
          </cell>
          <cell r="EE101">
            <v>15829</v>
          </cell>
          <cell r="EF101">
            <v>15319</v>
          </cell>
          <cell r="ET101">
            <v>12269</v>
          </cell>
          <cell r="EU101">
            <v>11960</v>
          </cell>
          <cell r="FI101">
            <v>3089</v>
          </cell>
          <cell r="FJ101">
            <v>1719</v>
          </cell>
          <cell r="FS101">
            <v>40642</v>
          </cell>
          <cell r="FT101">
            <v>3830</v>
          </cell>
          <cell r="GR101">
            <v>3867</v>
          </cell>
          <cell r="GS101">
            <v>4657</v>
          </cell>
          <cell r="HB101">
            <v>4261</v>
          </cell>
          <cell r="HC101">
            <v>8918</v>
          </cell>
          <cell r="HQ101">
            <v>3994</v>
          </cell>
          <cell r="HR101">
            <v>3212</v>
          </cell>
          <cell r="IA101">
            <v>1982</v>
          </cell>
          <cell r="IB101">
            <v>13642</v>
          </cell>
          <cell r="IF101">
            <v>851</v>
          </cell>
          <cell r="IG101">
            <v>954</v>
          </cell>
          <cell r="IK101">
            <v>524</v>
          </cell>
          <cell r="IL101">
            <v>733</v>
          </cell>
        </row>
      </sheetData>
      <sheetData sheetId="1"/>
      <sheetData sheetId="2"/>
      <sheetData sheetId="3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součet CHD a CHM"/>
      <sheetName val="APZ"/>
      <sheetName val="NUTS2"/>
    </sheetNames>
    <sheetDataSet>
      <sheetData sheetId="0">
        <row r="101">
          <cell r="E101">
            <v>4138</v>
          </cell>
          <cell r="F101">
            <v>3607</v>
          </cell>
          <cell r="J101">
            <v>3863</v>
          </cell>
          <cell r="K101">
            <v>3569</v>
          </cell>
          <cell r="T101">
            <v>160</v>
          </cell>
          <cell r="U101">
            <v>52</v>
          </cell>
          <cell r="Y101">
            <v>213</v>
          </cell>
          <cell r="Z101">
            <v>138</v>
          </cell>
          <cell r="AI101">
            <v>5079</v>
          </cell>
          <cell r="AJ101">
            <v>4708</v>
          </cell>
          <cell r="AN101">
            <v>4871</v>
          </cell>
          <cell r="AO101">
            <v>4706</v>
          </cell>
          <cell r="AX101">
            <v>3104</v>
          </cell>
          <cell r="AY101">
            <v>1582</v>
          </cell>
          <cell r="BH101">
            <v>11</v>
          </cell>
          <cell r="BI101">
            <v>0</v>
          </cell>
          <cell r="BM101">
            <v>0</v>
          </cell>
          <cell r="BN101">
            <v>0</v>
          </cell>
          <cell r="BW101">
            <v>1787</v>
          </cell>
          <cell r="BX101">
            <v>650</v>
          </cell>
          <cell r="CB101">
            <v>1599</v>
          </cell>
          <cell r="CC101">
            <v>713</v>
          </cell>
          <cell r="CL101">
            <v>57</v>
          </cell>
          <cell r="CM101">
            <v>15</v>
          </cell>
          <cell r="CQ101">
            <v>116</v>
          </cell>
          <cell r="CR101">
            <v>103</v>
          </cell>
          <cell r="DF101">
            <v>171</v>
          </cell>
          <cell r="DG101">
            <v>163</v>
          </cell>
          <cell r="DP101">
            <v>42</v>
          </cell>
          <cell r="DQ101">
            <v>31</v>
          </cell>
          <cell r="EE101">
            <v>16181</v>
          </cell>
          <cell r="EF101">
            <v>16053</v>
          </cell>
          <cell r="ET101">
            <v>12975</v>
          </cell>
          <cell r="EU101">
            <v>14010</v>
          </cell>
          <cell r="FI101">
            <v>3344</v>
          </cell>
          <cell r="FJ101">
            <v>2030</v>
          </cell>
          <cell r="FS101">
            <v>41012</v>
          </cell>
          <cell r="FT101">
            <v>4216</v>
          </cell>
          <cell r="GR101">
            <v>3799</v>
          </cell>
          <cell r="GS101">
            <v>4757</v>
          </cell>
          <cell r="HB101">
            <v>4226</v>
          </cell>
          <cell r="HC101">
            <v>9815</v>
          </cell>
          <cell r="HQ101">
            <v>4381</v>
          </cell>
          <cell r="HR101">
            <v>3645</v>
          </cell>
          <cell r="IA101">
            <v>2201</v>
          </cell>
          <cell r="IB101">
            <v>15412</v>
          </cell>
          <cell r="IF101">
            <v>872</v>
          </cell>
          <cell r="IG101">
            <v>1109</v>
          </cell>
          <cell r="IK101">
            <v>532</v>
          </cell>
          <cell r="IL101">
            <v>957</v>
          </cell>
        </row>
      </sheetData>
      <sheetData sheetId="1"/>
      <sheetData sheetId="2"/>
      <sheetData sheetId="3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součet CHD a CHM"/>
      <sheetName val="APZ"/>
      <sheetName val="NUTS2"/>
    </sheetNames>
    <sheetDataSet>
      <sheetData sheetId="0">
        <row r="101">
          <cell r="E101">
            <v>4221</v>
          </cell>
          <cell r="F101">
            <v>3919</v>
          </cell>
          <cell r="J101">
            <v>3994</v>
          </cell>
          <cell r="K101">
            <v>3953</v>
          </cell>
          <cell r="T101">
            <v>164</v>
          </cell>
          <cell r="U101">
            <v>60</v>
          </cell>
          <cell r="Y101">
            <v>224</v>
          </cell>
          <cell r="Z101">
            <v>150</v>
          </cell>
          <cell r="AI101">
            <v>4539</v>
          </cell>
          <cell r="AJ101">
            <v>4971</v>
          </cell>
          <cell r="AN101">
            <v>4363</v>
          </cell>
          <cell r="AO101">
            <v>4996</v>
          </cell>
          <cell r="AX101">
            <v>3114</v>
          </cell>
          <cell r="AY101">
            <v>1800</v>
          </cell>
          <cell r="BH101">
            <v>11</v>
          </cell>
          <cell r="BI101">
            <v>0</v>
          </cell>
          <cell r="BM101">
            <v>0</v>
          </cell>
          <cell r="BN101">
            <v>0</v>
          </cell>
          <cell r="BW101">
            <v>1877</v>
          </cell>
          <cell r="BX101">
            <v>743</v>
          </cell>
          <cell r="CB101">
            <v>1710</v>
          </cell>
          <cell r="CC101">
            <v>839</v>
          </cell>
          <cell r="CL101">
            <v>60</v>
          </cell>
          <cell r="CM101">
            <v>18</v>
          </cell>
          <cell r="CQ101">
            <v>116</v>
          </cell>
          <cell r="CR101">
            <v>104</v>
          </cell>
          <cell r="DF101">
            <v>180</v>
          </cell>
          <cell r="DG101">
            <v>194</v>
          </cell>
          <cell r="DP101">
            <v>40</v>
          </cell>
          <cell r="DQ101">
            <v>34</v>
          </cell>
          <cell r="EE101">
            <v>16265</v>
          </cell>
          <cell r="EF101">
            <v>16870</v>
          </cell>
          <cell r="ET101">
            <v>13653</v>
          </cell>
          <cell r="EU101">
            <v>16271</v>
          </cell>
          <cell r="FI101">
            <v>3682</v>
          </cell>
          <cell r="FJ101">
            <v>2417</v>
          </cell>
          <cell r="FS101">
            <v>41347</v>
          </cell>
          <cell r="FT101">
            <v>4555</v>
          </cell>
          <cell r="GR101">
            <v>3838</v>
          </cell>
          <cell r="GS101">
            <v>5019</v>
          </cell>
          <cell r="HB101">
            <v>4902</v>
          </cell>
          <cell r="HC101">
            <v>11430</v>
          </cell>
          <cell r="HQ101">
            <v>4857</v>
          </cell>
          <cell r="HR101">
            <v>4196</v>
          </cell>
          <cell r="IA101">
            <v>3936</v>
          </cell>
          <cell r="IB101">
            <v>18616</v>
          </cell>
          <cell r="IF101">
            <v>810</v>
          </cell>
          <cell r="IG101">
            <v>1250</v>
          </cell>
          <cell r="IK101">
            <v>442</v>
          </cell>
          <cell r="IL101">
            <v>1140</v>
          </cell>
        </row>
      </sheetData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APZ"/>
      <sheetName val="NUTS2"/>
    </sheetNames>
    <sheetDataSet>
      <sheetData sheetId="0">
        <row r="101">
          <cell r="E101">
            <v>7786</v>
          </cell>
          <cell r="F101">
            <v>8520</v>
          </cell>
          <cell r="J101">
            <v>7242</v>
          </cell>
          <cell r="K101">
            <v>8747</v>
          </cell>
          <cell r="T101">
            <v>464</v>
          </cell>
          <cell r="U101">
            <v>88</v>
          </cell>
          <cell r="Y101">
            <v>386</v>
          </cell>
          <cell r="Z101">
            <v>175</v>
          </cell>
          <cell r="AI101">
            <v>3895</v>
          </cell>
          <cell r="AJ101">
            <v>3997</v>
          </cell>
          <cell r="AN101">
            <v>3682</v>
          </cell>
          <cell r="AO101">
            <v>3838</v>
          </cell>
          <cell r="AX101">
            <v>4576</v>
          </cell>
          <cell r="AY101">
            <v>1614</v>
          </cell>
          <cell r="BH101">
            <v>1372</v>
          </cell>
          <cell r="BI101">
            <v>259</v>
          </cell>
          <cell r="BM101">
            <v>1185</v>
          </cell>
          <cell r="BN101">
            <v>484</v>
          </cell>
          <cell r="BW101">
            <v>992</v>
          </cell>
          <cell r="BX101">
            <v>224</v>
          </cell>
          <cell r="CB101">
            <v>919</v>
          </cell>
          <cell r="CC101">
            <v>391</v>
          </cell>
          <cell r="CL101">
            <v>95</v>
          </cell>
          <cell r="CM101">
            <v>28</v>
          </cell>
          <cell r="CQ101">
            <v>8872</v>
          </cell>
          <cell r="CR101">
            <v>7869</v>
          </cell>
          <cell r="DA101">
            <v>0</v>
          </cell>
          <cell r="DB101">
            <v>0</v>
          </cell>
          <cell r="DF101">
            <v>184</v>
          </cell>
          <cell r="DG101">
            <v>211</v>
          </cell>
          <cell r="DP101">
            <v>17</v>
          </cell>
          <cell r="DQ101">
            <v>34</v>
          </cell>
          <cell r="FI101">
            <v>2200</v>
          </cell>
          <cell r="FJ101">
            <v>4140</v>
          </cell>
          <cell r="FX101">
            <v>174</v>
          </cell>
          <cell r="FY101">
            <v>4380</v>
          </cell>
          <cell r="GM101">
            <v>351</v>
          </cell>
          <cell r="GN101">
            <v>341</v>
          </cell>
        </row>
      </sheetData>
      <sheetData sheetId="1"/>
      <sheetData sheetId="2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součet CHD a CHM"/>
      <sheetName val="APZ"/>
      <sheetName val="NUTS2"/>
    </sheetNames>
    <sheetDataSet>
      <sheetData sheetId="0">
        <row r="101">
          <cell r="E101">
            <v>4000</v>
          </cell>
          <cell r="F101">
            <v>4018</v>
          </cell>
          <cell r="J101">
            <v>3729</v>
          </cell>
          <cell r="K101">
            <v>4107</v>
          </cell>
          <cell r="T101">
            <v>165</v>
          </cell>
          <cell r="U101">
            <v>69</v>
          </cell>
          <cell r="Y101">
            <v>222</v>
          </cell>
          <cell r="Z101">
            <v>156</v>
          </cell>
          <cell r="AI101">
            <v>4214</v>
          </cell>
          <cell r="AJ101">
            <v>5116</v>
          </cell>
          <cell r="AN101">
            <v>4049</v>
          </cell>
          <cell r="AO101">
            <v>5152</v>
          </cell>
          <cell r="AX101">
            <v>3194</v>
          </cell>
          <cell r="AY101">
            <v>2061</v>
          </cell>
          <cell r="BH101">
            <v>11</v>
          </cell>
          <cell r="BI101">
            <v>0</v>
          </cell>
          <cell r="BM101">
            <v>0</v>
          </cell>
          <cell r="BN101">
            <v>0</v>
          </cell>
          <cell r="BW101">
            <v>1948</v>
          </cell>
          <cell r="BX101">
            <v>818</v>
          </cell>
          <cell r="CB101">
            <v>1785</v>
          </cell>
          <cell r="CC101">
            <v>951</v>
          </cell>
          <cell r="CL101">
            <v>62</v>
          </cell>
          <cell r="CM101">
            <v>20</v>
          </cell>
          <cell r="CQ101">
            <v>120</v>
          </cell>
          <cell r="CR101">
            <v>108</v>
          </cell>
          <cell r="DF101">
            <v>189</v>
          </cell>
          <cell r="DG101">
            <v>224</v>
          </cell>
          <cell r="DP101">
            <v>39</v>
          </cell>
          <cell r="DQ101">
            <v>35</v>
          </cell>
          <cell r="EE101">
            <v>15205</v>
          </cell>
          <cell r="EF101">
            <v>17543</v>
          </cell>
          <cell r="ET101">
            <v>14243</v>
          </cell>
          <cell r="EU101">
            <v>18943</v>
          </cell>
          <cell r="FI101">
            <v>4348</v>
          </cell>
          <cell r="FJ101">
            <v>3124</v>
          </cell>
          <cell r="FS101">
            <v>41640</v>
          </cell>
          <cell r="FT101">
            <v>4874</v>
          </cell>
          <cell r="GR101">
            <v>3892</v>
          </cell>
          <cell r="GS101">
            <v>5248</v>
          </cell>
          <cell r="HB101">
            <v>5431</v>
          </cell>
          <cell r="HC101">
            <v>12916</v>
          </cell>
          <cell r="HQ101">
            <v>5361</v>
          </cell>
          <cell r="HR101">
            <v>4826</v>
          </cell>
          <cell r="IA101">
            <v>4771</v>
          </cell>
          <cell r="IB101">
            <v>22020</v>
          </cell>
          <cell r="IF101">
            <v>775</v>
          </cell>
          <cell r="IG101">
            <v>1364</v>
          </cell>
          <cell r="IK101">
            <v>369</v>
          </cell>
          <cell r="IL101">
            <v>1367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P133"/>
  <sheetViews>
    <sheetView tabSelected="1" view="pageBreakPreview" zoomScale="75" zoomScaleNormal="100" workbookViewId="0">
      <selection sqref="A1:A43"/>
    </sheetView>
  </sheetViews>
  <sheetFormatPr defaultColWidth="10.28515625" defaultRowHeight="12.75"/>
  <cols>
    <col min="1" max="1" width="7.42578125" customWidth="1"/>
    <col min="2" max="2" width="4.28515625" customWidth="1"/>
    <col min="3" max="3" width="10.85546875" customWidth="1"/>
    <col min="4" max="4" width="9.7109375" customWidth="1"/>
    <col min="5" max="5" width="11.7109375" customWidth="1"/>
    <col min="6" max="6" width="10.7109375" customWidth="1"/>
    <col min="7" max="7" width="11.140625" customWidth="1"/>
    <col min="8" max="8" width="10.28515625" customWidth="1"/>
    <col min="9" max="9" width="11.140625" customWidth="1"/>
    <col min="10" max="10" width="10.5703125" customWidth="1"/>
    <col min="11" max="11" width="11.5703125" customWidth="1"/>
    <col min="12" max="12" width="10.85546875" customWidth="1"/>
    <col min="13" max="13" width="10.42578125" customWidth="1"/>
    <col min="14" max="14" width="10.5703125" customWidth="1"/>
    <col min="15" max="15" width="11.42578125" customWidth="1"/>
    <col min="16" max="16" width="10.5703125" customWidth="1"/>
    <col min="17" max="17" width="10.7109375" customWidth="1"/>
    <col min="18" max="18" width="10.28515625" customWidth="1"/>
    <col min="19" max="20" width="10.7109375" customWidth="1"/>
    <col min="21" max="21" width="11.7109375" customWidth="1"/>
    <col min="22" max="22" width="11" customWidth="1"/>
    <col min="23" max="24" width="10.5703125" customWidth="1"/>
    <col min="25" max="27" width="10.28515625" customWidth="1"/>
    <col min="28" max="28" width="9.7109375" customWidth="1"/>
    <col min="29" max="29" width="10.7109375" customWidth="1"/>
    <col min="30" max="30" width="10" customWidth="1"/>
    <col min="31" max="32" width="9.85546875" customWidth="1"/>
    <col min="33" max="33" width="10.28515625" customWidth="1"/>
    <col min="34" max="34" width="6.140625" customWidth="1"/>
    <col min="35" max="35" width="56.5703125" customWidth="1"/>
    <col min="36" max="36" width="11.140625" customWidth="1"/>
  </cols>
  <sheetData>
    <row r="1" spans="1:42" ht="30" customHeight="1">
      <c r="A1" s="1">
        <v>59</v>
      </c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2" t="str">
        <f>+[2]NUTS3!$A$101</f>
        <v>Celkem ČR</v>
      </c>
      <c r="P1" s="4"/>
      <c r="Q1" s="4"/>
      <c r="R1" s="5"/>
      <c r="S1" s="6"/>
      <c r="T1" s="7"/>
      <c r="U1" s="7"/>
      <c r="V1" s="8"/>
      <c r="W1" s="9"/>
      <c r="X1" s="9"/>
      <c r="Y1" s="9"/>
      <c r="Z1" s="9"/>
      <c r="AA1" s="9"/>
      <c r="AB1" s="3"/>
      <c r="AC1" s="3"/>
      <c r="AD1" s="3"/>
      <c r="AI1" s="10"/>
      <c r="AJ1" s="11"/>
      <c r="AK1" s="11"/>
      <c r="AL1" s="11"/>
    </row>
    <row r="2" spans="1:42" ht="13.5" customHeight="1">
      <c r="A2" s="1"/>
      <c r="B2" s="4"/>
      <c r="D2" s="12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5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I2" s="11"/>
      <c r="AJ2" s="11"/>
      <c r="AK2" s="11"/>
      <c r="AL2" s="11"/>
    </row>
    <row r="3" spans="1:42" ht="15.75" customHeight="1" thickBot="1">
      <c r="A3" s="1"/>
      <c r="B3" s="3"/>
      <c r="AG3" s="14"/>
      <c r="AI3" s="15"/>
      <c r="AJ3" s="16"/>
      <c r="AK3" s="17"/>
      <c r="AL3" s="11"/>
    </row>
    <row r="4" spans="1:42" s="31" customFormat="1" ht="81.75" customHeight="1" thickTop="1">
      <c r="A4" s="1"/>
      <c r="B4" s="18" t="s">
        <v>1</v>
      </c>
      <c r="C4" s="19" t="s">
        <v>2</v>
      </c>
      <c r="D4" s="19"/>
      <c r="E4" s="19"/>
      <c r="F4" s="20"/>
      <c r="G4" s="21" t="s">
        <v>3</v>
      </c>
      <c r="H4" s="19"/>
      <c r="I4" s="19"/>
      <c r="J4" s="20"/>
      <c r="K4" s="21" t="s">
        <v>4</v>
      </c>
      <c r="L4" s="19"/>
      <c r="M4" s="19"/>
      <c r="N4" s="20"/>
      <c r="O4" s="21" t="s">
        <v>5</v>
      </c>
      <c r="P4" s="20"/>
      <c r="Q4" s="22" t="s">
        <v>6</v>
      </c>
      <c r="R4" s="23"/>
      <c r="S4" s="23"/>
      <c r="T4" s="23"/>
      <c r="U4" s="22" t="s">
        <v>7</v>
      </c>
      <c r="V4" s="23"/>
      <c r="W4" s="23"/>
      <c r="X4" s="24"/>
      <c r="Y4" s="19" t="s">
        <v>8</v>
      </c>
      <c r="Z4" s="19"/>
      <c r="AA4" s="21" t="s">
        <v>9</v>
      </c>
      <c r="AB4" s="20"/>
      <c r="AC4" s="21" t="s">
        <v>10</v>
      </c>
      <c r="AD4" s="20"/>
      <c r="AE4" s="19" t="s">
        <v>11</v>
      </c>
      <c r="AF4" s="25"/>
      <c r="AG4" s="26"/>
      <c r="AH4" s="26"/>
      <c r="AI4" s="27"/>
      <c r="AJ4" s="28"/>
      <c r="AK4" s="29"/>
      <c r="AL4" s="30"/>
    </row>
    <row r="5" spans="1:42" ht="24" customHeight="1" thickBot="1">
      <c r="A5" s="1"/>
      <c r="B5" s="32"/>
      <c r="C5" s="33" t="s">
        <v>12</v>
      </c>
      <c r="D5" s="34"/>
      <c r="E5" s="35" t="s">
        <v>13</v>
      </c>
      <c r="F5" s="36"/>
      <c r="G5" s="37" t="s">
        <v>12</v>
      </c>
      <c r="H5" s="34"/>
      <c r="I5" s="35" t="s">
        <v>13</v>
      </c>
      <c r="J5" s="36"/>
      <c r="K5" s="37" t="s">
        <v>12</v>
      </c>
      <c r="L5" s="34"/>
      <c r="M5" s="35" t="s">
        <v>13</v>
      </c>
      <c r="N5" s="36"/>
      <c r="O5" s="37" t="s">
        <v>13</v>
      </c>
      <c r="P5" s="36"/>
      <c r="Q5" s="37" t="s">
        <v>12</v>
      </c>
      <c r="R5" s="34"/>
      <c r="S5" s="35" t="s">
        <v>13</v>
      </c>
      <c r="T5" s="38"/>
      <c r="U5" s="37" t="s">
        <v>12</v>
      </c>
      <c r="V5" s="34"/>
      <c r="W5" s="35" t="s">
        <v>13</v>
      </c>
      <c r="X5" s="36"/>
      <c r="Y5" s="38" t="s">
        <v>13</v>
      </c>
      <c r="Z5" s="38"/>
      <c r="AA5" s="37" t="s">
        <v>14</v>
      </c>
      <c r="AB5" s="36"/>
      <c r="AC5" s="37" t="s">
        <v>14</v>
      </c>
      <c r="AD5" s="36"/>
      <c r="AE5" s="38" t="s">
        <v>14</v>
      </c>
      <c r="AF5" s="39"/>
      <c r="AG5" s="40"/>
      <c r="AH5" s="41"/>
      <c r="AI5" s="40"/>
      <c r="AJ5" s="42"/>
      <c r="AK5" s="43"/>
    </row>
    <row r="6" spans="1:42" ht="21.95" customHeight="1">
      <c r="A6" s="1"/>
      <c r="B6" s="32"/>
      <c r="C6" s="44" t="s">
        <v>15</v>
      </c>
      <c r="D6" s="45" t="s">
        <v>16</v>
      </c>
      <c r="E6" s="45" t="s">
        <v>15</v>
      </c>
      <c r="F6" s="46" t="s">
        <v>16</v>
      </c>
      <c r="G6" s="44" t="s">
        <v>15</v>
      </c>
      <c r="H6" s="45" t="s">
        <v>16</v>
      </c>
      <c r="I6" s="45" t="s">
        <v>15</v>
      </c>
      <c r="J6" s="47" t="s">
        <v>16</v>
      </c>
      <c r="K6" s="48" t="s">
        <v>15</v>
      </c>
      <c r="L6" s="45" t="s">
        <v>16</v>
      </c>
      <c r="M6" s="45" t="s">
        <v>15</v>
      </c>
      <c r="N6" s="49" t="s">
        <v>16</v>
      </c>
      <c r="O6" s="50" t="s">
        <v>15</v>
      </c>
      <c r="P6" s="47" t="s">
        <v>16</v>
      </c>
      <c r="Q6" s="44" t="s">
        <v>15</v>
      </c>
      <c r="R6" s="45" t="s">
        <v>16</v>
      </c>
      <c r="S6" s="45" t="s">
        <v>15</v>
      </c>
      <c r="T6" s="51" t="s">
        <v>16</v>
      </c>
      <c r="U6" s="52" t="s">
        <v>15</v>
      </c>
      <c r="V6" s="45" t="s">
        <v>16</v>
      </c>
      <c r="W6" s="45" t="s">
        <v>15</v>
      </c>
      <c r="X6" s="47" t="s">
        <v>16</v>
      </c>
      <c r="Y6" s="53" t="s">
        <v>15</v>
      </c>
      <c r="Z6" s="51" t="s">
        <v>16</v>
      </c>
      <c r="AA6" s="54" t="s">
        <v>15</v>
      </c>
      <c r="AB6" s="47" t="s">
        <v>16</v>
      </c>
      <c r="AC6" s="54" t="s">
        <v>15</v>
      </c>
      <c r="AD6" s="47" t="s">
        <v>16</v>
      </c>
      <c r="AE6" s="53" t="s">
        <v>15</v>
      </c>
      <c r="AF6" s="55" t="s">
        <v>16</v>
      </c>
      <c r="AG6" s="40"/>
      <c r="AH6" s="41"/>
      <c r="AI6" s="40"/>
      <c r="AJ6" s="42"/>
      <c r="AK6" s="43"/>
    </row>
    <row r="7" spans="1:42" ht="21.95" customHeight="1">
      <c r="A7" s="1"/>
      <c r="B7" s="32"/>
      <c r="C7" s="44" t="s">
        <v>17</v>
      </c>
      <c r="D7" s="45" t="s">
        <v>18</v>
      </c>
      <c r="E7" s="45" t="s">
        <v>17</v>
      </c>
      <c r="F7" s="46" t="s">
        <v>18</v>
      </c>
      <c r="G7" s="44" t="s">
        <v>17</v>
      </c>
      <c r="H7" s="45" t="s">
        <v>18</v>
      </c>
      <c r="I7" s="45" t="s">
        <v>17</v>
      </c>
      <c r="J7" s="47" t="s">
        <v>18</v>
      </c>
      <c r="K7" s="48" t="s">
        <v>17</v>
      </c>
      <c r="L7" s="45" t="s">
        <v>18</v>
      </c>
      <c r="M7" s="45" t="s">
        <v>17</v>
      </c>
      <c r="N7" s="49" t="s">
        <v>18</v>
      </c>
      <c r="O7" s="50" t="s">
        <v>17</v>
      </c>
      <c r="P7" s="47" t="s">
        <v>18</v>
      </c>
      <c r="Q7" s="44" t="s">
        <v>17</v>
      </c>
      <c r="R7" s="45" t="s">
        <v>18</v>
      </c>
      <c r="S7" s="45" t="s">
        <v>17</v>
      </c>
      <c r="T7" s="51" t="s">
        <v>18</v>
      </c>
      <c r="U7" s="52" t="s">
        <v>17</v>
      </c>
      <c r="V7" s="45" t="s">
        <v>18</v>
      </c>
      <c r="W7" s="45" t="s">
        <v>17</v>
      </c>
      <c r="X7" s="47" t="s">
        <v>18</v>
      </c>
      <c r="Y7" s="53" t="s">
        <v>17</v>
      </c>
      <c r="Z7" s="51" t="s">
        <v>18</v>
      </c>
      <c r="AA7" s="54" t="s">
        <v>17</v>
      </c>
      <c r="AB7" s="47" t="s">
        <v>18</v>
      </c>
      <c r="AC7" s="54" t="s">
        <v>17</v>
      </c>
      <c r="AD7" s="47" t="s">
        <v>18</v>
      </c>
      <c r="AE7" s="53" t="s">
        <v>17</v>
      </c>
      <c r="AF7" s="55" t="s">
        <v>18</v>
      </c>
      <c r="AG7" s="40"/>
      <c r="AH7" s="41"/>
      <c r="AI7" s="40"/>
      <c r="AJ7" s="42"/>
      <c r="AK7" s="43"/>
    </row>
    <row r="8" spans="1:42" ht="21.95" customHeight="1" thickBot="1">
      <c r="A8" s="1"/>
      <c r="B8" s="56"/>
      <c r="C8" s="57" t="s">
        <v>19</v>
      </c>
      <c r="D8" s="58" t="s">
        <v>20</v>
      </c>
      <c r="E8" s="58" t="s">
        <v>19</v>
      </c>
      <c r="F8" s="59" t="s">
        <v>20</v>
      </c>
      <c r="G8" s="57" t="s">
        <v>19</v>
      </c>
      <c r="H8" s="58" t="s">
        <v>20</v>
      </c>
      <c r="I8" s="58" t="s">
        <v>19</v>
      </c>
      <c r="J8" s="60" t="s">
        <v>20</v>
      </c>
      <c r="K8" s="61" t="s">
        <v>19</v>
      </c>
      <c r="L8" s="58" t="s">
        <v>20</v>
      </c>
      <c r="M8" s="58" t="s">
        <v>19</v>
      </c>
      <c r="N8" s="62" t="s">
        <v>20</v>
      </c>
      <c r="O8" s="63" t="s">
        <v>19</v>
      </c>
      <c r="P8" s="60" t="s">
        <v>20</v>
      </c>
      <c r="Q8" s="57" t="s">
        <v>19</v>
      </c>
      <c r="R8" s="58" t="s">
        <v>20</v>
      </c>
      <c r="S8" s="58" t="s">
        <v>19</v>
      </c>
      <c r="T8" s="64" t="s">
        <v>20</v>
      </c>
      <c r="U8" s="65" t="s">
        <v>19</v>
      </c>
      <c r="V8" s="58" t="s">
        <v>20</v>
      </c>
      <c r="W8" s="58" t="s">
        <v>19</v>
      </c>
      <c r="X8" s="60" t="s">
        <v>20</v>
      </c>
      <c r="Y8" s="66" t="s">
        <v>19</v>
      </c>
      <c r="Z8" s="64" t="s">
        <v>20</v>
      </c>
      <c r="AA8" s="67" t="s">
        <v>19</v>
      </c>
      <c r="AB8" s="60" t="s">
        <v>20</v>
      </c>
      <c r="AC8" s="67" t="s">
        <v>19</v>
      </c>
      <c r="AD8" s="60" t="s">
        <v>20</v>
      </c>
      <c r="AE8" s="66" t="s">
        <v>19</v>
      </c>
      <c r="AF8" s="68" t="s">
        <v>20</v>
      </c>
      <c r="AG8" s="40"/>
      <c r="AH8" s="41"/>
      <c r="AI8" s="40"/>
      <c r="AJ8" s="42"/>
      <c r="AK8" s="43"/>
      <c r="AN8" s="40"/>
      <c r="AO8" s="42"/>
      <c r="AP8" s="43"/>
    </row>
    <row r="9" spans="1:42" ht="25.5" customHeight="1" thickTop="1">
      <c r="A9" s="1"/>
      <c r="B9" s="69">
        <v>1</v>
      </c>
      <c r="C9" s="70">
        <f>+[3]NUTS3!$E$101</f>
        <v>2229</v>
      </c>
      <c r="D9" s="71">
        <f>+[3]NUTS3!$F$101</f>
        <v>108</v>
      </c>
      <c r="E9" s="71">
        <f>+[3]NUTS3!$J$101</f>
        <v>1949</v>
      </c>
      <c r="F9" s="72">
        <f>+[3]NUTS3!$K$101</f>
        <v>106</v>
      </c>
      <c r="G9" s="73">
        <f>+[3]NUTS3!$T$101</f>
        <v>563</v>
      </c>
      <c r="H9" s="71">
        <f>+[3]NUTS3!$U$101</f>
        <v>7</v>
      </c>
      <c r="I9" s="71">
        <f>+[3]NUTS3!$Y$101</f>
        <v>480</v>
      </c>
      <c r="J9" s="74">
        <f>+[3]NUTS3!$Z$101</f>
        <v>50</v>
      </c>
      <c r="K9" s="75">
        <f>+[3]NUTS3!$AI$101</f>
        <v>5020</v>
      </c>
      <c r="L9" s="71">
        <f>+[3]NUTS3!$AJ$101</f>
        <v>122</v>
      </c>
      <c r="M9" s="71">
        <f>+[3]NUTS3!$AN$101</f>
        <v>4805</v>
      </c>
      <c r="N9" s="75">
        <f>+[3]NUTS3!$AO$101</f>
        <v>116</v>
      </c>
      <c r="O9" s="76">
        <f>+[3]NUTS3!$AX$101</f>
        <v>4463</v>
      </c>
      <c r="P9" s="75">
        <f>+[3]NUTS3!$AY$101</f>
        <v>66</v>
      </c>
      <c r="Q9" s="73">
        <f>+[3]NUTS3!$BH$101</f>
        <v>1320</v>
      </c>
      <c r="R9" s="71">
        <f>+[3]NUTS3!$BI$101</f>
        <v>5</v>
      </c>
      <c r="S9" s="71">
        <f>+[3]NUTS3!$BM$101</f>
        <v>1160</v>
      </c>
      <c r="T9" s="75">
        <f>+[3]NUTS3!$BN$101</f>
        <v>82</v>
      </c>
      <c r="U9" s="73">
        <f>+[3]NUTS3!$BW$101</f>
        <v>911</v>
      </c>
      <c r="V9" s="71">
        <f>+[3]NUTS3!$BX$101</f>
        <v>6</v>
      </c>
      <c r="W9" s="71">
        <f>+[3]NUTS3!$CB$101</f>
        <v>829</v>
      </c>
      <c r="X9" s="77">
        <f>+[3]NUTS3!$CC$101</f>
        <v>38</v>
      </c>
      <c r="Y9" s="72">
        <f>+[3]NUTS3!$CL$101</f>
        <v>91</v>
      </c>
      <c r="Z9" s="75">
        <f>+[3]NUTS3!$CM$101</f>
        <v>1</v>
      </c>
      <c r="AA9" s="76">
        <f>+[3]NUTS3!$CQ$101</f>
        <v>2629</v>
      </c>
      <c r="AB9" s="77">
        <f>+[3]NUTS3!$CR$101</f>
        <v>1125</v>
      </c>
      <c r="AC9" s="76">
        <f>+[3]NUTS3!$DP$101</f>
        <v>19</v>
      </c>
      <c r="AD9" s="74">
        <f>+[3]NUTS3!$DQ$101</f>
        <v>3</v>
      </c>
      <c r="AE9" s="72">
        <f>+[3]NUTS3!$DA$101</f>
        <v>0</v>
      </c>
      <c r="AF9" s="78">
        <f>+[3]NUTS3!$DB$101</f>
        <v>0</v>
      </c>
      <c r="AG9" s="40"/>
      <c r="AH9" s="40"/>
      <c r="AI9" s="40"/>
      <c r="AJ9" s="42"/>
      <c r="AK9" s="43"/>
      <c r="AL9" s="41"/>
    </row>
    <row r="10" spans="1:42" ht="25.5" customHeight="1">
      <c r="A10" s="1"/>
      <c r="B10" s="69">
        <v>2</v>
      </c>
      <c r="C10" s="79">
        <f>+[4]NUTS3!$E$101</f>
        <v>2702</v>
      </c>
      <c r="D10" s="80">
        <f>+[4]NUTS3!$F$101</f>
        <v>853</v>
      </c>
      <c r="E10" s="80">
        <f>+[4]NUTS3!$J$101</f>
        <v>2183</v>
      </c>
      <c r="F10" s="81">
        <f>+[4]NUTS3!$K$101</f>
        <v>578</v>
      </c>
      <c r="G10" s="82">
        <f>+[4]NUTS3!$T$101</f>
        <v>562</v>
      </c>
      <c r="H10" s="80">
        <f>+[4]NUTS3!$U$101</f>
        <v>14</v>
      </c>
      <c r="I10" s="80">
        <f>+[4]NUTS3!$Y$101</f>
        <v>482</v>
      </c>
      <c r="J10" s="83">
        <f>+[4]NUTS3!$Z$101</f>
        <v>67</v>
      </c>
      <c r="K10" s="84">
        <f>+[4]NUTS3!$AI$101</f>
        <v>4194</v>
      </c>
      <c r="L10" s="80">
        <f>+[4]NUTS3!$AJ$101</f>
        <v>400</v>
      </c>
      <c r="M10" s="80">
        <f>+[4]NUTS3!$AN$101</f>
        <v>4013</v>
      </c>
      <c r="N10" s="84">
        <f>+[4]NUTS3!$AO$101</f>
        <v>386</v>
      </c>
      <c r="O10" s="85">
        <f>+[4]NUTS3!$AX$101</f>
        <v>4579</v>
      </c>
      <c r="P10" s="84">
        <f>+[4]NUTS3!$AY$101</f>
        <v>298</v>
      </c>
      <c r="Q10" s="82">
        <f>+[4]NUTS3!$BH$101</f>
        <v>1380</v>
      </c>
      <c r="R10" s="80">
        <f>+[4]NUTS3!$BI$101</f>
        <v>67</v>
      </c>
      <c r="S10" s="80">
        <f>+[4]NUTS3!$BM$101</f>
        <v>1175</v>
      </c>
      <c r="T10" s="84">
        <f>+[4]NUTS3!$BN$101</f>
        <v>119</v>
      </c>
      <c r="U10" s="82">
        <f>+[4]NUTS3!$BW$101</f>
        <v>928</v>
      </c>
      <c r="V10" s="80">
        <f>+[4]NUTS3!$BX$101</f>
        <v>35</v>
      </c>
      <c r="W10" s="80">
        <f>+[4]NUTS3!$CB$101</f>
        <v>841</v>
      </c>
      <c r="X10" s="86">
        <f>+[4]NUTS3!$CC$101</f>
        <v>81</v>
      </c>
      <c r="Y10" s="81">
        <f>+[4]NUTS3!$CL$101</f>
        <v>96</v>
      </c>
      <c r="Z10" s="84">
        <f>+[4]NUTS3!$CM$101</f>
        <v>8</v>
      </c>
      <c r="AA10" s="85">
        <f>+[4]NUTS3!$CQ$101</f>
        <v>6028</v>
      </c>
      <c r="AB10" s="86">
        <f>+[4]NUTS3!$CR$101</f>
        <v>4656</v>
      </c>
      <c r="AC10" s="85">
        <f>+[4]NUTS3!$DP$101</f>
        <v>19</v>
      </c>
      <c r="AD10" s="83">
        <f>+[4]NUTS3!$DQ$101</f>
        <v>8</v>
      </c>
      <c r="AE10" s="81">
        <f>+[4]NUTS3!$DA$101</f>
        <v>0</v>
      </c>
      <c r="AF10" s="87">
        <f>+[4]NUTS3!$DB$101</f>
        <v>0</v>
      </c>
      <c r="AG10" s="40"/>
      <c r="AH10" s="40"/>
      <c r="AI10" s="40"/>
      <c r="AJ10" s="42"/>
      <c r="AK10" s="43"/>
    </row>
    <row r="11" spans="1:42" ht="25.5" customHeight="1">
      <c r="A11" s="1"/>
      <c r="B11" s="69">
        <v>3</v>
      </c>
      <c r="C11" s="79">
        <f>+[5]NUTS3!$E$101</f>
        <v>5191</v>
      </c>
      <c r="D11" s="80">
        <f>+[5]NUTS3!$F$101</f>
        <v>3612</v>
      </c>
      <c r="E11" s="80">
        <f>+[5]NUTS3!$J$101</f>
        <v>3111</v>
      </c>
      <c r="F11" s="81">
        <f>+[5]NUTS3!$K$101</f>
        <v>1799</v>
      </c>
      <c r="G11" s="82">
        <f>+[5]NUTS3!$T$101</f>
        <v>521</v>
      </c>
      <c r="H11" s="80">
        <f>+[5]NUTS3!$U$101</f>
        <v>43</v>
      </c>
      <c r="I11" s="80">
        <f>+[5]NUTS3!$Y$101</f>
        <v>432</v>
      </c>
      <c r="J11" s="83">
        <f>+[5]NUTS3!$Z$101</f>
        <v>96</v>
      </c>
      <c r="K11" s="84">
        <f>+[5]NUTS3!$AI$101</f>
        <v>3729</v>
      </c>
      <c r="L11" s="80">
        <f>+[5]NUTS3!$AJ$101</f>
        <v>1157</v>
      </c>
      <c r="M11" s="80">
        <f>+[5]NUTS3!$AN$101</f>
        <v>3449</v>
      </c>
      <c r="N11" s="84">
        <f>+[5]NUTS3!$AO$101</f>
        <v>1002</v>
      </c>
      <c r="O11" s="85">
        <f>+[5]NUTS3!$AX$101</f>
        <v>4697</v>
      </c>
      <c r="P11" s="84">
        <f>+[5]NUTS3!$AY$101</f>
        <v>669</v>
      </c>
      <c r="Q11" s="82">
        <f>+[5]NUTS3!$BH$101</f>
        <v>1491</v>
      </c>
      <c r="R11" s="80">
        <f>+[5]NUTS3!$BI$101</f>
        <v>208</v>
      </c>
      <c r="S11" s="80">
        <f>+[5]NUTS3!$BM$101</f>
        <v>1192</v>
      </c>
      <c r="T11" s="84">
        <f>+[5]NUTS3!$BN$101</f>
        <v>189</v>
      </c>
      <c r="U11" s="82">
        <f>+[5]NUTS3!$BW$101</f>
        <v>966</v>
      </c>
      <c r="V11" s="80">
        <f>+[5]NUTS3!$BX$101</f>
        <v>81</v>
      </c>
      <c r="W11" s="80">
        <f>+[5]NUTS3!$CB$101</f>
        <v>879</v>
      </c>
      <c r="X11" s="86">
        <f>+[5]NUTS3!$CC$101</f>
        <v>155</v>
      </c>
      <c r="Y11" s="81">
        <f>+[5]NUTS3!$CL$101</f>
        <v>98</v>
      </c>
      <c r="Z11" s="84">
        <f>+[5]NUTS3!$CM$101</f>
        <v>15</v>
      </c>
      <c r="AA11" s="85">
        <f>+[5]NUTS3!$CQ$101</f>
        <v>8419</v>
      </c>
      <c r="AB11" s="86">
        <f>+[5]NUTS3!$CR$101</f>
        <v>7048</v>
      </c>
      <c r="AC11" s="85">
        <f>+[5]NUTS3!$DP$101</f>
        <v>23</v>
      </c>
      <c r="AD11" s="83">
        <f>+[5]NUTS3!$DQ$101</f>
        <v>16</v>
      </c>
      <c r="AE11" s="81">
        <f>+[5]NUTS3!$DA$101</f>
        <v>0</v>
      </c>
      <c r="AF11" s="87">
        <f>+[5]NUTS3!$DB$101</f>
        <v>0</v>
      </c>
      <c r="AG11" s="40"/>
      <c r="AH11" s="41"/>
      <c r="AI11" s="40"/>
      <c r="AJ11" s="42"/>
      <c r="AK11" s="43"/>
    </row>
    <row r="12" spans="1:42" ht="25.5" customHeight="1">
      <c r="A12" s="1"/>
      <c r="B12" s="69">
        <v>4</v>
      </c>
      <c r="C12" s="79">
        <f>+[6]NUTS3!$E$101</f>
        <v>6986</v>
      </c>
      <c r="D12" s="80">
        <f>+[6]NUTS3!$F$101</f>
        <v>5643</v>
      </c>
      <c r="E12" s="80">
        <f>+[6]NUTS3!$J$101</f>
        <v>6050</v>
      </c>
      <c r="F12" s="81">
        <f>+[6]NUTS3!$K$101</f>
        <v>5046</v>
      </c>
      <c r="G12" s="82">
        <f>+[6]NUTS3!$T$101</f>
        <v>492</v>
      </c>
      <c r="H12" s="80">
        <f>+[6]NUTS3!$U$101</f>
        <v>50</v>
      </c>
      <c r="I12" s="80">
        <f>+[6]NUTS3!$Y$101</f>
        <v>420</v>
      </c>
      <c r="J12" s="83">
        <f>+[6]NUTS3!$Z$101</f>
        <v>128</v>
      </c>
      <c r="K12" s="84">
        <f>+[6]NUTS3!$AI$101</f>
        <v>3221</v>
      </c>
      <c r="L12" s="80">
        <f>+[6]NUTS3!$AJ$101</f>
        <v>1842</v>
      </c>
      <c r="M12" s="80">
        <f>+[6]NUTS3!$AN$101</f>
        <v>3038</v>
      </c>
      <c r="N12" s="84">
        <f>+[6]NUTS3!$AO$101</f>
        <v>1768</v>
      </c>
      <c r="O12" s="85">
        <f>+[6]NUTS3!$AX$101</f>
        <v>4655</v>
      </c>
      <c r="P12" s="84">
        <f>+[6]NUTS3!$AY$101</f>
        <v>889</v>
      </c>
      <c r="Q12" s="82">
        <f>+[6]NUTS3!$BH$101</f>
        <v>1454</v>
      </c>
      <c r="R12" s="80">
        <f>+[6]NUTS3!$BI$101</f>
        <v>213</v>
      </c>
      <c r="S12" s="80">
        <f>+[6]NUTS3!$BM$101</f>
        <v>1185</v>
      </c>
      <c r="T12" s="84">
        <f>+[6]NUTS3!$BN$101</f>
        <v>257</v>
      </c>
      <c r="U12" s="82">
        <f>+[6]NUTS3!$BW$101</f>
        <v>1003</v>
      </c>
      <c r="V12" s="80">
        <f>+[6]NUTS3!$BX$101</f>
        <v>151</v>
      </c>
      <c r="W12" s="80">
        <f>+[6]NUTS3!$CB$101</f>
        <v>914</v>
      </c>
      <c r="X12" s="86">
        <f>+[6]NUTS3!$CC$101</f>
        <v>232</v>
      </c>
      <c r="Y12" s="81">
        <f>+[6]NUTS3!$CL$101</f>
        <v>97</v>
      </c>
      <c r="Z12" s="84">
        <f>+[6]NUTS3!$CM$101</f>
        <v>17</v>
      </c>
      <c r="AA12" s="85">
        <f>+[6]NUTS3!$CQ$101</f>
        <v>8984</v>
      </c>
      <c r="AB12" s="86">
        <f>+[6]NUTS3!$CR$101</f>
        <v>7628</v>
      </c>
      <c r="AC12" s="85">
        <f>+[6]NUTS3!$DP$101</f>
        <v>21</v>
      </c>
      <c r="AD12" s="83">
        <f>+[6]NUTS3!$DQ$101</f>
        <v>19</v>
      </c>
      <c r="AE12" s="81">
        <f>+[6]NUTS3!$DA$101</f>
        <v>0</v>
      </c>
      <c r="AF12" s="87">
        <f>+[6]NUTS3!$DB$101</f>
        <v>0</v>
      </c>
      <c r="AG12" s="40"/>
      <c r="AH12" s="40"/>
      <c r="AI12" s="40"/>
      <c r="AJ12" s="42"/>
      <c r="AK12" s="43"/>
    </row>
    <row r="13" spans="1:42" ht="25.5" customHeight="1">
      <c r="A13" s="1"/>
      <c r="B13" s="69">
        <v>5</v>
      </c>
      <c r="C13" s="79">
        <f>+[7]NUTS3!$E$101</f>
        <v>8107</v>
      </c>
      <c r="D13" s="80">
        <f>+[7]NUTS3!$F$101</f>
        <v>7068</v>
      </c>
      <c r="E13" s="80">
        <f>+[7]NUTS3!$J$101</f>
        <v>7455</v>
      </c>
      <c r="F13" s="81">
        <f>+[7]NUTS3!$K$101</f>
        <v>6897</v>
      </c>
      <c r="G13" s="82">
        <f>+[7]NUTS3!$T$101</f>
        <v>489</v>
      </c>
      <c r="H13" s="80">
        <f>+[7]NUTS3!$U$101</f>
        <v>61</v>
      </c>
      <c r="I13" s="80">
        <f>+[7]NUTS3!$Y$101</f>
        <v>414</v>
      </c>
      <c r="J13" s="83">
        <f>+[7]NUTS3!$Z$101</f>
        <v>144</v>
      </c>
      <c r="K13" s="84">
        <f>+[7]NUTS3!$AI$101</f>
        <v>3345</v>
      </c>
      <c r="L13" s="80">
        <f>+[7]NUTS3!$AJ$101</f>
        <v>2612</v>
      </c>
      <c r="M13" s="80">
        <f>+[7]NUTS3!$AN$101</f>
        <v>3136</v>
      </c>
      <c r="N13" s="84">
        <f>+[7]NUTS3!$AO$101</f>
        <v>2489</v>
      </c>
      <c r="O13" s="85">
        <f>+[7]NUTS3!$AX$101</f>
        <v>4645</v>
      </c>
      <c r="P13" s="84">
        <f>+[7]NUTS3!$AY$101</f>
        <v>1174</v>
      </c>
      <c r="Q13" s="82">
        <f>+[7]NUTS3!$BH$101</f>
        <v>1416</v>
      </c>
      <c r="R13" s="80">
        <f>+[7]NUTS3!$BI$101</f>
        <v>227</v>
      </c>
      <c r="S13" s="80">
        <f>+[7]NUTS3!$BM$101</f>
        <v>1173</v>
      </c>
      <c r="T13" s="84">
        <f>+[7]NUTS3!$BN$101</f>
        <v>319</v>
      </c>
      <c r="U13" s="82">
        <f>+[7]NUTS3!$BW$101</f>
        <v>995</v>
      </c>
      <c r="V13" s="80">
        <f>+[7]NUTS3!$BX$101</f>
        <v>168</v>
      </c>
      <c r="W13" s="80">
        <f>+[7]NUTS3!$CB$101</f>
        <v>912</v>
      </c>
      <c r="X13" s="86">
        <f>+[7]NUTS3!$CC$101</f>
        <v>274</v>
      </c>
      <c r="Y13" s="81">
        <f>+[7]NUTS3!$CL$101</f>
        <v>92</v>
      </c>
      <c r="Z13" s="84">
        <f>+[7]NUTS3!$CM$101</f>
        <v>19</v>
      </c>
      <c r="AA13" s="85">
        <f>+[7]NUTS3!$CQ$101</f>
        <v>9115</v>
      </c>
      <c r="AB13" s="86">
        <f>+[7]NUTS3!$CR$101</f>
        <v>7759</v>
      </c>
      <c r="AC13" s="85">
        <f>+[7]NUTS3!$DP$101</f>
        <v>20</v>
      </c>
      <c r="AD13" s="83">
        <f>+[7]NUTS3!$DQ$101</f>
        <v>22</v>
      </c>
      <c r="AE13" s="81">
        <f>+[7]NUTS3!$DA$101</f>
        <v>0</v>
      </c>
      <c r="AF13" s="87">
        <f>+[7]NUTS3!$DB$101</f>
        <v>0</v>
      </c>
      <c r="AH13" s="40"/>
      <c r="AI13" s="40"/>
      <c r="AJ13" s="42"/>
      <c r="AK13" s="43"/>
    </row>
    <row r="14" spans="1:42" ht="25.5" customHeight="1">
      <c r="A14" s="1"/>
      <c r="B14" s="69">
        <v>6</v>
      </c>
      <c r="C14" s="79">
        <f>+[8]NUTS3!$E$101</f>
        <v>8657</v>
      </c>
      <c r="D14" s="80">
        <f>+[8]NUTS3!$F$101</f>
        <v>8102</v>
      </c>
      <c r="E14" s="80">
        <f>+[8]NUTS3!$J$101</f>
        <v>7887</v>
      </c>
      <c r="F14" s="81">
        <f>+[8]NUTS3!$K$101</f>
        <v>7966</v>
      </c>
      <c r="G14" s="82">
        <f>+[8]NUTS3!$T$101</f>
        <v>477</v>
      </c>
      <c r="H14" s="80">
        <f>+[8]NUTS3!$U$101</f>
        <v>71</v>
      </c>
      <c r="I14" s="80">
        <f>+[8]NUTS3!$Y$101</f>
        <v>404</v>
      </c>
      <c r="J14" s="83">
        <f>+[8]NUTS3!$Z$101</f>
        <v>163</v>
      </c>
      <c r="K14" s="84">
        <f>+[8]NUTS3!$AI$101</f>
        <v>3698</v>
      </c>
      <c r="L14" s="80">
        <f>+[8]NUTS3!$AJ$101</f>
        <v>3449</v>
      </c>
      <c r="M14" s="80">
        <f>+[8]NUTS3!$AN$101</f>
        <v>3492</v>
      </c>
      <c r="N14" s="84">
        <f>+[8]NUTS3!$AO$101</f>
        <v>3302</v>
      </c>
      <c r="O14" s="85">
        <f>+[8]NUTS3!$AX$101</f>
        <v>4638</v>
      </c>
      <c r="P14" s="84">
        <f>+[8]NUTS3!$AY$101</f>
        <v>1436</v>
      </c>
      <c r="Q14" s="82">
        <f>+[8]NUTS3!$BH$101</f>
        <v>1405</v>
      </c>
      <c r="R14" s="80">
        <f>+[8]NUTS3!$BI$101</f>
        <v>259</v>
      </c>
      <c r="S14" s="80">
        <f>+[8]NUTS3!$BM$101</f>
        <v>1176</v>
      </c>
      <c r="T14" s="84">
        <f>+[8]NUTS3!$BN$101</f>
        <v>403</v>
      </c>
      <c r="U14" s="82">
        <f>+[8]NUTS3!$BW$101</f>
        <v>979</v>
      </c>
      <c r="V14" s="80">
        <f>+[8]NUTS3!$BX$101</f>
        <v>192</v>
      </c>
      <c r="W14" s="80">
        <f>+[8]NUTS3!$CB$101</f>
        <v>905</v>
      </c>
      <c r="X14" s="86">
        <f>+[8]NUTS3!$CC$101</f>
        <v>325</v>
      </c>
      <c r="Y14" s="81">
        <f>+[8]NUTS3!$CL$101</f>
        <v>96</v>
      </c>
      <c r="Z14" s="84">
        <f>+[8]NUTS3!$CM$101</f>
        <v>27</v>
      </c>
      <c r="AA14" s="85">
        <f>+[8]NUTS3!$CQ$101</f>
        <v>9187</v>
      </c>
      <c r="AB14" s="86">
        <f>+[8]NUTS3!$CR$101</f>
        <v>7833</v>
      </c>
      <c r="AC14" s="85">
        <f>+[8]NUTS3!$DP$101</f>
        <v>22</v>
      </c>
      <c r="AD14" s="83">
        <f>+[8]NUTS3!$DQ$101</f>
        <v>31</v>
      </c>
      <c r="AE14" s="81">
        <f>+[8]NUTS3!$DA$101</f>
        <v>0</v>
      </c>
      <c r="AF14" s="87">
        <f>+[8]NUTS3!$DB$101</f>
        <v>0</v>
      </c>
      <c r="AI14" s="40"/>
      <c r="AJ14" s="42"/>
      <c r="AK14" s="43"/>
    </row>
    <row r="15" spans="1:42" ht="25.5" customHeight="1">
      <c r="A15" s="1"/>
      <c r="B15" s="69">
        <v>7</v>
      </c>
      <c r="C15" s="79">
        <f>+[9]NUTS3!$E$101</f>
        <v>7786</v>
      </c>
      <c r="D15" s="80">
        <f>+[9]NUTS3!$F$101</f>
        <v>8520</v>
      </c>
      <c r="E15" s="80">
        <f>+[9]NUTS3!$J$101</f>
        <v>7242</v>
      </c>
      <c r="F15" s="81">
        <f>+[9]NUTS3!$K$101</f>
        <v>8747</v>
      </c>
      <c r="G15" s="82">
        <f>+[9]NUTS3!$T$101</f>
        <v>464</v>
      </c>
      <c r="H15" s="80">
        <f>+[9]NUTS3!$U$101</f>
        <v>88</v>
      </c>
      <c r="I15" s="80">
        <f>+[9]NUTS3!$Y$101</f>
        <v>386</v>
      </c>
      <c r="J15" s="83">
        <f>+[9]NUTS3!$Z$101</f>
        <v>175</v>
      </c>
      <c r="K15" s="84">
        <f>+[9]NUTS3!$AI$101</f>
        <v>3895</v>
      </c>
      <c r="L15" s="80">
        <f>+[9]NUTS3!$AJ$101</f>
        <v>3997</v>
      </c>
      <c r="M15" s="80">
        <f>+[9]NUTS3!$AN$101</f>
        <v>3682</v>
      </c>
      <c r="N15" s="84">
        <f>+[9]NUTS3!$AO$101</f>
        <v>3838</v>
      </c>
      <c r="O15" s="85">
        <f>+[9]NUTS3!$AX$101</f>
        <v>4576</v>
      </c>
      <c r="P15" s="84">
        <f>+[9]NUTS3!$AY$101</f>
        <v>1614</v>
      </c>
      <c r="Q15" s="82">
        <f>+[9]NUTS3!$BH$101</f>
        <v>1372</v>
      </c>
      <c r="R15" s="80">
        <f>+[9]NUTS3!$BI$101</f>
        <v>259</v>
      </c>
      <c r="S15" s="80">
        <f>+[9]NUTS3!$BM$101</f>
        <v>1185</v>
      </c>
      <c r="T15" s="84">
        <f>+[9]NUTS3!$BN$101</f>
        <v>484</v>
      </c>
      <c r="U15" s="82">
        <f>+[9]NUTS3!$BW$101</f>
        <v>992</v>
      </c>
      <c r="V15" s="80">
        <f>+[9]NUTS3!$BX$101</f>
        <v>224</v>
      </c>
      <c r="W15" s="80">
        <f>+[9]NUTS3!$CB$101</f>
        <v>919</v>
      </c>
      <c r="X15" s="86">
        <f>+[9]NUTS3!$CC$101</f>
        <v>391</v>
      </c>
      <c r="Y15" s="81">
        <f>+[9]NUTS3!$CL$101</f>
        <v>95</v>
      </c>
      <c r="Z15" s="84">
        <f>+[9]NUTS3!$CM$101</f>
        <v>28</v>
      </c>
      <c r="AA15" s="85">
        <f>+[9]NUTS3!$CQ$101</f>
        <v>8872</v>
      </c>
      <c r="AB15" s="86">
        <f>+[9]NUTS3!$CR$101</f>
        <v>7869</v>
      </c>
      <c r="AC15" s="85">
        <f>+[9]NUTS3!$DP$101</f>
        <v>17</v>
      </c>
      <c r="AD15" s="83">
        <f>+[9]NUTS3!$DQ$101</f>
        <v>34</v>
      </c>
      <c r="AE15" s="81">
        <f>+[9]NUTS3!$DA$101</f>
        <v>0</v>
      </c>
      <c r="AF15" s="87">
        <f>+[9]NUTS3!$DB$101</f>
        <v>0</v>
      </c>
      <c r="AI15" s="88"/>
      <c r="AJ15" s="11"/>
      <c r="AK15" s="11"/>
      <c r="AL15" s="11"/>
    </row>
    <row r="16" spans="1:42" ht="25.5" customHeight="1">
      <c r="A16" s="1"/>
      <c r="B16" s="69">
        <v>8</v>
      </c>
      <c r="C16" s="79">
        <f>+[10]NUTS3!$E$101</f>
        <v>7096</v>
      </c>
      <c r="D16" s="80">
        <f>+[10]NUTS3!$F$101</f>
        <v>8622</v>
      </c>
      <c r="E16" s="80">
        <f>+[10]NUTS3!$J$101</f>
        <v>6675</v>
      </c>
      <c r="F16" s="81">
        <f>+[10]NUTS3!$K$101</f>
        <v>9063</v>
      </c>
      <c r="G16" s="82">
        <f>+[10]NUTS3!$T$101</f>
        <v>466</v>
      </c>
      <c r="H16" s="80">
        <f>+[10]NUTS3!$U$101</f>
        <v>100</v>
      </c>
      <c r="I16" s="80">
        <f>+[10]NUTS3!$Y$101</f>
        <v>400</v>
      </c>
      <c r="J16" s="83">
        <f>+[10]NUTS3!$Z$101</f>
        <v>206</v>
      </c>
      <c r="K16" s="84">
        <f>+[10]NUTS3!$AI$101</f>
        <v>3783</v>
      </c>
      <c r="L16" s="80">
        <f>+[10]NUTS3!$AJ$101</f>
        <v>4447</v>
      </c>
      <c r="M16" s="80">
        <f>+[10]NUTS3!$AN$101</f>
        <v>3564</v>
      </c>
      <c r="N16" s="84">
        <f>+[10]NUTS3!$AO$101</f>
        <v>4263</v>
      </c>
      <c r="O16" s="85">
        <f>+[10]NUTS3!$AX$101</f>
        <v>4515</v>
      </c>
      <c r="P16" s="84">
        <f>+[10]NUTS3!$AY$101</f>
        <v>1788</v>
      </c>
      <c r="Q16" s="82">
        <f>+[10]NUTS3!$BH$101</f>
        <v>1359</v>
      </c>
      <c r="R16" s="80">
        <f>+[10]NUTS3!$BI$101</f>
        <v>272</v>
      </c>
      <c r="S16" s="80">
        <f>+[10]NUTS3!$BM$101</f>
        <v>1169</v>
      </c>
      <c r="T16" s="84">
        <f>+[10]NUTS3!$BN$101</f>
        <v>538</v>
      </c>
      <c r="U16" s="82">
        <f>+[10]NUTS3!$BW$101</f>
        <v>1001</v>
      </c>
      <c r="V16" s="80">
        <f>+[10]NUTS3!$BX$101</f>
        <v>249</v>
      </c>
      <c r="W16" s="80">
        <f>+[10]NUTS3!$CB$101</f>
        <v>926</v>
      </c>
      <c r="X16" s="86">
        <f>+[10]NUTS3!$CC$101</f>
        <v>447</v>
      </c>
      <c r="Y16" s="81">
        <f>+[10]NUTS3!$CL$101</f>
        <v>94</v>
      </c>
      <c r="Z16" s="84">
        <f>+[10]NUTS3!$CM$101</f>
        <v>31</v>
      </c>
      <c r="AA16" s="85">
        <f>+[10]NUTS3!$CQ$101</f>
        <v>8804</v>
      </c>
      <c r="AB16" s="86">
        <f>+[10]NUTS3!$CR$101</f>
        <v>8317</v>
      </c>
      <c r="AC16" s="85">
        <f>+[10]NUTS3!$DP$101</f>
        <v>18</v>
      </c>
      <c r="AD16" s="83">
        <f>+[10]NUTS3!$DQ$101</f>
        <v>36</v>
      </c>
      <c r="AE16" s="81">
        <f>+[10]NUTS3!$DA$101</f>
        <v>0</v>
      </c>
      <c r="AF16" s="87">
        <f>+[10]NUTS3!$DB$101</f>
        <v>0</v>
      </c>
      <c r="AI16" s="88"/>
      <c r="AJ16" s="89"/>
      <c r="AK16" s="90"/>
      <c r="AL16" s="11"/>
    </row>
    <row r="17" spans="1:38" ht="25.5" customHeight="1">
      <c r="A17" s="1"/>
      <c r="B17" s="69">
        <v>9</v>
      </c>
      <c r="C17" s="79">
        <f>+[11]NUTS3!$E$101</f>
        <v>6237</v>
      </c>
      <c r="D17" s="80">
        <f>+[11]NUTS3!$F$101</f>
        <v>8776</v>
      </c>
      <c r="E17" s="80">
        <f>+[11]NUTS3!$J$101</f>
        <v>5779</v>
      </c>
      <c r="F17" s="81">
        <f>+[11]NUTS3!$K$101</f>
        <v>9305</v>
      </c>
      <c r="G17" s="82">
        <f>+[11]NUTS3!$T$101</f>
        <v>463</v>
      </c>
      <c r="H17" s="80">
        <f>+[11]NUTS3!$U$101</f>
        <v>126</v>
      </c>
      <c r="I17" s="80">
        <f>+[11]NUTS3!$Y$101</f>
        <v>376</v>
      </c>
      <c r="J17" s="83">
        <f>+[11]NUTS3!$Z$101</f>
        <v>218</v>
      </c>
      <c r="K17" s="84">
        <f>+[11]NUTS3!$AI$101</f>
        <v>3619</v>
      </c>
      <c r="L17" s="80">
        <f>+[11]NUTS3!$AJ$101</f>
        <v>5031</v>
      </c>
      <c r="M17" s="80">
        <f>+[11]NUTS3!$AN$101</f>
        <v>3384</v>
      </c>
      <c r="N17" s="84">
        <f>+[11]NUTS3!$AO$101</f>
        <v>4818</v>
      </c>
      <c r="O17" s="85">
        <f>+[11]NUTS3!$AX$101</f>
        <v>4422</v>
      </c>
      <c r="P17" s="84">
        <f>+[11]NUTS3!$AY$101</f>
        <v>1944</v>
      </c>
      <c r="Q17" s="82">
        <f>+[11]NUTS3!$BH$101</f>
        <v>1293</v>
      </c>
      <c r="R17" s="80">
        <f>+[11]NUTS3!$BI$101</f>
        <v>287</v>
      </c>
      <c r="S17" s="80">
        <f>+[11]NUTS3!$BM$101</f>
        <v>1106</v>
      </c>
      <c r="T17" s="84">
        <f>+[11]NUTS3!$BN$101</f>
        <v>603</v>
      </c>
      <c r="U17" s="82">
        <f>+[11]NUTS3!$BW$101</f>
        <v>948</v>
      </c>
      <c r="V17" s="80">
        <f>+[11]NUTS3!$BX$101</f>
        <v>282</v>
      </c>
      <c r="W17" s="80">
        <f>+[11]NUTS3!$CB$101</f>
        <v>864</v>
      </c>
      <c r="X17" s="86">
        <f>+[11]NUTS3!$CC$101</f>
        <v>492</v>
      </c>
      <c r="Y17" s="81">
        <f>+[11]NUTS3!$CL$101</f>
        <v>93</v>
      </c>
      <c r="Z17" s="84">
        <f>+[11]NUTS3!$CM$101</f>
        <v>34</v>
      </c>
      <c r="AA17" s="85">
        <f>+[11]NUTS3!$CQ$101</f>
        <v>9200</v>
      </c>
      <c r="AB17" s="86">
        <f>+[11]NUTS3!$CR$101</f>
        <v>8714</v>
      </c>
      <c r="AC17" s="85">
        <f>+[11]NUTS3!$DP$101</f>
        <v>20</v>
      </c>
      <c r="AD17" s="83">
        <f>+[11]NUTS3!$DQ$101</f>
        <v>41</v>
      </c>
      <c r="AE17" s="81">
        <f>+[11]NUTS3!$DA$101</f>
        <v>0</v>
      </c>
      <c r="AF17" s="87">
        <f>+[11]NUTS3!$DB$101</f>
        <v>0</v>
      </c>
      <c r="AI17" s="16"/>
      <c r="AJ17" s="91"/>
      <c r="AK17" s="92"/>
      <c r="AL17" s="11"/>
    </row>
    <row r="18" spans="1:38" ht="25.5" customHeight="1">
      <c r="A18" s="1"/>
      <c r="B18" s="69">
        <v>10</v>
      </c>
      <c r="C18" s="79">
        <f>+[12]NUTS3!$E$101</f>
        <v>4898</v>
      </c>
      <c r="D18" s="80">
        <f>+[12]NUTS3!$F$101</f>
        <v>8956</v>
      </c>
      <c r="E18" s="80">
        <f>+[12]NUTS3!$J$101</f>
        <v>4406</v>
      </c>
      <c r="F18" s="81">
        <f>+[12]NUTS3!$K$101</f>
        <v>9528</v>
      </c>
      <c r="G18" s="82">
        <f>+[12]NUTS3!$T$101</f>
        <v>448</v>
      </c>
      <c r="H18" s="80">
        <f>+[12]NUTS3!$U$101</f>
        <v>136</v>
      </c>
      <c r="I18" s="80">
        <f>+[12]NUTS3!$Y$101</f>
        <v>387</v>
      </c>
      <c r="J18" s="83">
        <f>+[12]NUTS3!$Z$101</f>
        <v>260</v>
      </c>
      <c r="K18" s="84">
        <f>+[12]NUTS3!$AI$101</f>
        <v>3378</v>
      </c>
      <c r="L18" s="80">
        <f>+[12]NUTS3!$AJ$101</f>
        <v>5599</v>
      </c>
      <c r="M18" s="80">
        <f>+[12]NUTS3!$AN$101</f>
        <v>3160</v>
      </c>
      <c r="N18" s="84">
        <f>+[12]NUTS3!$AO$101</f>
        <v>5376</v>
      </c>
      <c r="O18" s="85">
        <f>+[12]NUTS3!$AX$101</f>
        <v>4293</v>
      </c>
      <c r="P18" s="84">
        <f>+[12]NUTS3!$AY$101</f>
        <v>2100</v>
      </c>
      <c r="Q18" s="82">
        <f>+[12]NUTS3!$BH$101</f>
        <v>1233</v>
      </c>
      <c r="R18" s="80">
        <f>+[12]NUTS3!$BI$101</f>
        <v>331</v>
      </c>
      <c r="S18" s="80">
        <f>+[12]NUTS3!$BM$101</f>
        <v>1047</v>
      </c>
      <c r="T18" s="84">
        <f>+[12]NUTS3!$BN$101</f>
        <v>674</v>
      </c>
      <c r="U18" s="82">
        <f>+[12]NUTS3!$BW$101</f>
        <v>924</v>
      </c>
      <c r="V18" s="80">
        <f>+[12]NUTS3!$BX$101</f>
        <v>311</v>
      </c>
      <c r="W18" s="80">
        <f>+[12]NUTS3!$CB$101</f>
        <v>832</v>
      </c>
      <c r="X18" s="86">
        <f>+[12]NUTS3!$CC$101</f>
        <v>523</v>
      </c>
      <c r="Y18" s="81">
        <f>+[12]NUTS3!$CL$101</f>
        <v>92</v>
      </c>
      <c r="Z18" s="84">
        <f>+[12]NUTS3!$CM$101</f>
        <v>38</v>
      </c>
      <c r="AA18" s="85">
        <f>+[12]NUTS3!$CQ$101</f>
        <v>9511</v>
      </c>
      <c r="AB18" s="86">
        <f>+[12]NUTS3!$CR$101</f>
        <v>9028</v>
      </c>
      <c r="AC18" s="85">
        <f>+[12]NUTS3!$DP$101</f>
        <v>5</v>
      </c>
      <c r="AD18" s="83">
        <f>+[12]NUTS3!$DQ$101</f>
        <v>42</v>
      </c>
      <c r="AE18" s="81">
        <f>+[12]NUTS3!$DA$101</f>
        <v>0</v>
      </c>
      <c r="AF18" s="87">
        <f>+[12]NUTS3!$DB$101</f>
        <v>0</v>
      </c>
      <c r="AI18" s="93"/>
      <c r="AJ18" s="93"/>
      <c r="AK18" s="30"/>
      <c r="AL18" s="11"/>
    </row>
    <row r="19" spans="1:38" ht="25.5" customHeight="1">
      <c r="A19" s="1"/>
      <c r="B19" s="69">
        <v>11</v>
      </c>
      <c r="C19" s="79">
        <f>+[13]NUTS3!$E$101</f>
        <v>3493</v>
      </c>
      <c r="D19" s="80">
        <f>+[13]NUTS3!$F$101</f>
        <v>9087</v>
      </c>
      <c r="E19" s="80">
        <f>+[13]NUTS3!$J$101</f>
        <v>3098</v>
      </c>
      <c r="F19" s="81">
        <f>+[13]NUTS3!$K$101</f>
        <v>9762</v>
      </c>
      <c r="G19" s="82">
        <f>+[13]NUTS3!$T$101</f>
        <v>456</v>
      </c>
      <c r="H19" s="80">
        <f>+[13]NUTS3!$U$101</f>
        <v>175</v>
      </c>
      <c r="I19" s="80">
        <f>+[13]NUTS3!$Y$101</f>
        <v>376</v>
      </c>
      <c r="J19" s="83">
        <f>+[13]NUTS3!$Z$101</f>
        <v>285</v>
      </c>
      <c r="K19" s="84">
        <f>+[13]NUTS3!$AI$101</f>
        <v>2795</v>
      </c>
      <c r="L19" s="80">
        <f>+[13]NUTS3!$AJ$101</f>
        <v>6097</v>
      </c>
      <c r="M19" s="80">
        <f>+[13]NUTS3!$AN$101</f>
        <v>2603</v>
      </c>
      <c r="N19" s="84">
        <f>+[13]NUTS3!$AO$101</f>
        <v>5865</v>
      </c>
      <c r="O19" s="85">
        <f>+[13]NUTS3!$AX$101</f>
        <v>4262</v>
      </c>
      <c r="P19" s="84">
        <f>+[13]NUTS3!$AY$101</f>
        <v>2313</v>
      </c>
      <c r="Q19" s="82">
        <f>+[13]NUTS3!$BH$101</f>
        <v>1187</v>
      </c>
      <c r="R19" s="80">
        <f>+[13]NUTS3!$BI$101</f>
        <v>358</v>
      </c>
      <c r="S19" s="80">
        <f>+[13]NUTS3!$BM$101</f>
        <v>998</v>
      </c>
      <c r="T19" s="84">
        <f>+[13]NUTS3!$BN$101</f>
        <v>731</v>
      </c>
      <c r="U19" s="82">
        <f>+[13]NUTS3!$BW$101</f>
        <v>930</v>
      </c>
      <c r="V19" s="80">
        <f>+[13]NUTS3!$BX$101</f>
        <v>344</v>
      </c>
      <c r="W19" s="80">
        <f>+[13]NUTS3!$CB$101</f>
        <v>843</v>
      </c>
      <c r="X19" s="86">
        <f>+[13]NUTS3!$CC$101</f>
        <v>570</v>
      </c>
      <c r="Y19" s="81">
        <f>+[13]NUTS3!$CL$101</f>
        <v>91</v>
      </c>
      <c r="Z19" s="84">
        <f>+[13]NUTS3!$CM$101</f>
        <v>41</v>
      </c>
      <c r="AA19" s="85">
        <f>+[13]NUTS3!$CQ$101</f>
        <v>9766</v>
      </c>
      <c r="AB19" s="86">
        <f>+[13]NUTS3!$CR$101</f>
        <v>9293</v>
      </c>
      <c r="AC19" s="85">
        <f>+[13]NUTS3!$DP$101</f>
        <v>3</v>
      </c>
      <c r="AD19" s="83">
        <f>+[13]NUTS3!$DQ$101</f>
        <v>42</v>
      </c>
      <c r="AE19" s="81">
        <f>+[13]NUTS3!$DA$101</f>
        <v>0</v>
      </c>
      <c r="AF19" s="87">
        <f>+[13]NUTS3!$DB$101</f>
        <v>0</v>
      </c>
      <c r="AH19" s="94"/>
      <c r="AI19" s="93"/>
      <c r="AJ19" s="93"/>
      <c r="AK19" s="11"/>
      <c r="AL19" s="11"/>
    </row>
    <row r="20" spans="1:38" s="31" customFormat="1" ht="25.5" customHeight="1" thickBot="1">
      <c r="A20" s="1"/>
      <c r="B20" s="95">
        <v>12</v>
      </c>
      <c r="C20" s="96">
        <f>+[14]NUTS3!$E$101</f>
        <v>1689</v>
      </c>
      <c r="D20" s="97">
        <f>+[14]NUTS3!$F$101</f>
        <v>9139</v>
      </c>
      <c r="E20" s="97">
        <f>+[14]NUTS3!$J$101</f>
        <v>1478</v>
      </c>
      <c r="F20" s="98">
        <f>+[14]NUTS3!$K$101</f>
        <v>9830</v>
      </c>
      <c r="G20" s="99">
        <f>+[14]NUTS3!$T$101</f>
        <v>461</v>
      </c>
      <c r="H20" s="97">
        <f>+[14]NUTS3!$U$101</f>
        <v>200</v>
      </c>
      <c r="I20" s="97">
        <f>+[14]NUTS3!$Y$101</f>
        <v>392</v>
      </c>
      <c r="J20" s="100">
        <f>+[14]NUTS3!$Z$101</f>
        <v>333</v>
      </c>
      <c r="K20" s="101">
        <f>+[14]NUTS3!$AI$101</f>
        <v>2476</v>
      </c>
      <c r="L20" s="97">
        <f>+[14]NUTS3!$AJ$101</f>
        <v>6567</v>
      </c>
      <c r="M20" s="97">
        <f>+[14]NUTS3!$AN$101</f>
        <v>2283</v>
      </c>
      <c r="N20" s="101">
        <f>+[14]NUTS3!$AO$101</f>
        <v>6287</v>
      </c>
      <c r="O20" s="102">
        <f>+[14]NUTS3!$AX$101</f>
        <v>4072</v>
      </c>
      <c r="P20" s="101">
        <f>+[14]NUTS3!$AY$101</f>
        <v>2410</v>
      </c>
      <c r="Q20" s="99">
        <f>+[14]NUTS3!$BH$101</f>
        <v>1133</v>
      </c>
      <c r="R20" s="97">
        <f>+[14]NUTS3!$BI$101</f>
        <v>364</v>
      </c>
      <c r="S20" s="97">
        <f>+[14]NUTS3!$BM$101</f>
        <v>967</v>
      </c>
      <c r="T20" s="101">
        <f>+[14]NUTS3!$BN$101</f>
        <v>764</v>
      </c>
      <c r="U20" s="99">
        <f>+[14]NUTS3!$BW$101</f>
        <v>925</v>
      </c>
      <c r="V20" s="97">
        <f>+[14]NUTS3!$BX$101</f>
        <v>362</v>
      </c>
      <c r="W20" s="97">
        <f>+[14]NUTS3!$CB$101</f>
        <v>833</v>
      </c>
      <c r="X20" s="103">
        <f>+[14]NUTS3!$CC$101</f>
        <v>598</v>
      </c>
      <c r="Y20" s="98">
        <f>+[14]NUTS3!$CL$101</f>
        <v>90</v>
      </c>
      <c r="Z20" s="101">
        <f>+[14]NUTS3!$CM$101</f>
        <v>43</v>
      </c>
      <c r="AA20" s="102">
        <f>+[14]NUTS3!$CQ$101</f>
        <v>14625</v>
      </c>
      <c r="AB20" s="103">
        <f>+[14]NUTS3!$CR$101</f>
        <v>14620</v>
      </c>
      <c r="AC20" s="102">
        <f>+[14]NUTS3!$DP$101</f>
        <v>3</v>
      </c>
      <c r="AD20" s="100">
        <f>+[14]NUTS3!$DQ$101</f>
        <v>44</v>
      </c>
      <c r="AE20" s="98">
        <f>+[14]NUTS3!$DA$101</f>
        <v>0</v>
      </c>
      <c r="AF20" s="104">
        <f>+[14]NUTS3!$DB$101</f>
        <v>0</v>
      </c>
      <c r="AG20" s="40"/>
      <c r="AH20" s="93"/>
      <c r="AI20" s="93"/>
      <c r="AJ20" s="93"/>
      <c r="AK20" s="11"/>
      <c r="AL20" s="30"/>
    </row>
    <row r="21" spans="1:38" ht="25.5" customHeight="1" thickTop="1">
      <c r="A21" s="1"/>
      <c r="B21" s="105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106"/>
      <c r="AF21" s="106"/>
      <c r="AH21" s="93"/>
      <c r="AI21" s="93"/>
      <c r="AJ21" s="93"/>
      <c r="AK21" s="11"/>
      <c r="AL21" s="11"/>
    </row>
    <row r="22" spans="1:38" ht="25.5" customHeight="1">
      <c r="A22" s="1"/>
      <c r="B22" s="105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107"/>
      <c r="S22" s="107"/>
      <c r="T22" s="107"/>
      <c r="U22" s="107"/>
      <c r="V22" s="107"/>
      <c r="W22" s="107"/>
      <c r="X22" s="107"/>
      <c r="Y22" s="107"/>
      <c r="Z22" s="84"/>
      <c r="AA22" s="84"/>
      <c r="AB22" s="84"/>
      <c r="AC22" s="84"/>
      <c r="AD22" s="106"/>
      <c r="AE22" s="106"/>
      <c r="AF22" s="106"/>
      <c r="AH22" s="93"/>
      <c r="AI22" s="108"/>
      <c r="AJ22" s="108"/>
    </row>
    <row r="23" spans="1:38" ht="25.5" customHeight="1" thickBot="1">
      <c r="A23" s="1"/>
      <c r="B23" s="109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84"/>
      <c r="N23" s="84"/>
      <c r="O23" s="84"/>
      <c r="P23" s="84"/>
      <c r="Q23" s="84"/>
      <c r="R23" s="110"/>
      <c r="S23" s="111"/>
      <c r="T23" s="112"/>
      <c r="U23" s="112"/>
      <c r="V23" s="112"/>
      <c r="W23" s="112"/>
      <c r="X23" s="112"/>
      <c r="Y23" s="112"/>
      <c r="Z23" s="84"/>
      <c r="AA23" s="84"/>
      <c r="AB23" s="84"/>
      <c r="AC23" s="84"/>
      <c r="AD23" s="106"/>
      <c r="AE23" s="106"/>
      <c r="AF23" s="106"/>
      <c r="AH23" s="93"/>
    </row>
    <row r="24" spans="1:38" ht="58.5" customHeight="1" thickTop="1">
      <c r="A24" s="1"/>
      <c r="B24" s="18" t="s">
        <v>1</v>
      </c>
      <c r="C24" s="21" t="s">
        <v>21</v>
      </c>
      <c r="D24" s="20"/>
      <c r="E24" s="21" t="s">
        <v>22</v>
      </c>
      <c r="F24" s="113"/>
      <c r="G24" s="21" t="s">
        <v>23</v>
      </c>
      <c r="H24" s="20"/>
      <c r="I24" s="19" t="s">
        <v>24</v>
      </c>
      <c r="J24" s="20"/>
      <c r="K24" s="21" t="s">
        <v>25</v>
      </c>
      <c r="L24" s="25"/>
      <c r="M24" s="114"/>
      <c r="N24" s="114"/>
      <c r="O24" s="114"/>
      <c r="P24" s="114"/>
      <c r="Q24" s="114"/>
      <c r="R24" s="114"/>
      <c r="U24" s="111"/>
      <c r="V24" s="111"/>
      <c r="W24" s="111"/>
      <c r="X24" s="111"/>
      <c r="Y24" s="115"/>
      <c r="Z24" s="84"/>
      <c r="AA24" s="84"/>
      <c r="AB24" s="84"/>
      <c r="AC24" s="84"/>
      <c r="AD24" s="106"/>
      <c r="AE24" s="106"/>
      <c r="AF24" s="116"/>
    </row>
    <row r="25" spans="1:38" ht="25.5" customHeight="1" thickBot="1">
      <c r="A25" s="1"/>
      <c r="B25" s="32"/>
      <c r="C25" s="33" t="s">
        <v>14</v>
      </c>
      <c r="D25" s="36"/>
      <c r="E25" s="37" t="s">
        <v>13</v>
      </c>
      <c r="F25" s="36"/>
      <c r="G25" s="37" t="s">
        <v>13</v>
      </c>
      <c r="H25" s="36"/>
      <c r="I25" s="38" t="s">
        <v>13</v>
      </c>
      <c r="J25" s="36"/>
      <c r="K25" s="37" t="s">
        <v>26</v>
      </c>
      <c r="L25" s="39"/>
      <c r="M25" s="117"/>
      <c r="N25" s="117"/>
      <c r="O25" s="117"/>
      <c r="P25" s="117"/>
      <c r="Q25" s="117"/>
      <c r="R25" s="117"/>
      <c r="U25" s="111"/>
      <c r="V25" s="111"/>
      <c r="W25" s="111"/>
      <c r="X25" s="111"/>
      <c r="Y25" s="115"/>
      <c r="Z25" s="84"/>
      <c r="AA25" s="84"/>
      <c r="AB25" s="84"/>
      <c r="AC25" s="84"/>
      <c r="AD25" s="106"/>
      <c r="AE25" s="106"/>
      <c r="AF25" s="106"/>
      <c r="AH25" s="118" t="s">
        <v>27</v>
      </c>
    </row>
    <row r="26" spans="1:38" ht="25.5" customHeight="1">
      <c r="A26" s="1"/>
      <c r="B26" s="32"/>
      <c r="C26" s="50" t="s">
        <v>15</v>
      </c>
      <c r="D26" s="47" t="s">
        <v>16</v>
      </c>
      <c r="E26" s="45" t="s">
        <v>15</v>
      </c>
      <c r="F26" s="47" t="s">
        <v>16</v>
      </c>
      <c r="G26" s="52" t="s">
        <v>15</v>
      </c>
      <c r="H26" s="47" t="s">
        <v>16</v>
      </c>
      <c r="I26" s="44" t="s">
        <v>15</v>
      </c>
      <c r="J26" s="47" t="s">
        <v>16</v>
      </c>
      <c r="K26" s="54" t="s">
        <v>15</v>
      </c>
      <c r="L26" s="55" t="s">
        <v>16</v>
      </c>
      <c r="M26" s="111"/>
      <c r="N26" s="110"/>
      <c r="O26" s="111"/>
      <c r="P26" s="110"/>
      <c r="Q26" s="110"/>
      <c r="R26" s="110"/>
      <c r="U26" s="111"/>
      <c r="V26" s="111"/>
      <c r="W26" s="111"/>
      <c r="X26" s="111"/>
      <c r="Y26" s="115"/>
      <c r="Z26" s="84"/>
      <c r="AA26" s="84"/>
      <c r="AB26" s="84"/>
      <c r="AC26" s="84"/>
      <c r="AD26" s="106"/>
      <c r="AE26" s="106"/>
      <c r="AH26" s="40" t="s">
        <v>28</v>
      </c>
      <c r="AI26" s="40"/>
      <c r="AJ26" s="41">
        <f>+F20</f>
        <v>9830</v>
      </c>
    </row>
    <row r="27" spans="1:38" ht="25.5" customHeight="1">
      <c r="A27" s="1"/>
      <c r="B27" s="32"/>
      <c r="C27" s="50" t="s">
        <v>17</v>
      </c>
      <c r="D27" s="47" t="s">
        <v>18</v>
      </c>
      <c r="E27" s="45" t="s">
        <v>17</v>
      </c>
      <c r="F27" s="47" t="s">
        <v>18</v>
      </c>
      <c r="G27" s="52" t="s">
        <v>17</v>
      </c>
      <c r="H27" s="47" t="s">
        <v>18</v>
      </c>
      <c r="I27" s="44" t="s">
        <v>17</v>
      </c>
      <c r="J27" s="47" t="s">
        <v>18</v>
      </c>
      <c r="K27" s="54" t="s">
        <v>17</v>
      </c>
      <c r="L27" s="55" t="s">
        <v>18</v>
      </c>
      <c r="M27" s="111"/>
      <c r="N27" s="110"/>
      <c r="O27" s="111"/>
      <c r="P27" s="110"/>
      <c r="Q27" s="110"/>
      <c r="R27" s="111"/>
      <c r="U27" s="119"/>
      <c r="V27" s="119"/>
      <c r="W27" s="119"/>
      <c r="X27" s="119"/>
      <c r="Y27" s="119"/>
      <c r="Z27" s="84"/>
      <c r="AA27" s="84"/>
      <c r="AB27" s="84"/>
      <c r="AC27" s="84"/>
      <c r="AD27" s="106"/>
      <c r="AE27" s="106"/>
      <c r="AF27" s="106"/>
      <c r="AH27" s="40" t="s">
        <v>29</v>
      </c>
      <c r="AI27" s="40"/>
      <c r="AJ27" s="41">
        <f>+J20+N20+P20</f>
        <v>9030</v>
      </c>
    </row>
    <row r="28" spans="1:38" ht="25.5" customHeight="1" thickBot="1">
      <c r="A28" s="1"/>
      <c r="B28" s="56"/>
      <c r="C28" s="63" t="s">
        <v>19</v>
      </c>
      <c r="D28" s="60" t="s">
        <v>20</v>
      </c>
      <c r="E28" s="58" t="s">
        <v>19</v>
      </c>
      <c r="F28" s="60" t="s">
        <v>20</v>
      </c>
      <c r="G28" s="65" t="s">
        <v>19</v>
      </c>
      <c r="H28" s="60" t="s">
        <v>20</v>
      </c>
      <c r="I28" s="57" t="s">
        <v>19</v>
      </c>
      <c r="J28" s="60" t="s">
        <v>20</v>
      </c>
      <c r="K28" s="67" t="s">
        <v>19</v>
      </c>
      <c r="L28" s="68" t="s">
        <v>20</v>
      </c>
      <c r="M28" s="111"/>
      <c r="N28" s="110"/>
      <c r="O28" s="111"/>
      <c r="P28" s="110"/>
      <c r="Q28" s="110"/>
      <c r="R28" s="111"/>
      <c r="U28" s="119"/>
      <c r="V28" s="119"/>
      <c r="W28" s="119"/>
      <c r="X28" s="119"/>
      <c r="Y28" s="119"/>
      <c r="Z28" s="84"/>
      <c r="AA28" s="84"/>
      <c r="AB28" s="84"/>
      <c r="AC28" s="84"/>
      <c r="AD28" s="106"/>
      <c r="AE28" s="106"/>
      <c r="AF28" s="106"/>
      <c r="AH28" s="40" t="s">
        <v>30</v>
      </c>
      <c r="AI28" s="94"/>
      <c r="AJ28" s="41">
        <f>+T20+X20+Z20</f>
        <v>1405</v>
      </c>
    </row>
    <row r="29" spans="1:38" ht="25.5" customHeight="1" thickTop="1">
      <c r="A29" s="1"/>
      <c r="B29" s="69">
        <v>1</v>
      </c>
      <c r="C29" s="120">
        <f>+[3]NUTS3!$DF$101</f>
        <v>2</v>
      </c>
      <c r="D29" s="121">
        <f>+[3]NUTS3!$DG$101</f>
        <v>2</v>
      </c>
      <c r="E29" s="122">
        <f>+[3]NUTS3!$FI$101</f>
        <v>3945</v>
      </c>
      <c r="F29" s="123">
        <f>+[3]NUTS3!$FJ$101</f>
        <v>485</v>
      </c>
      <c r="G29" s="122">
        <f>+[3]NUTS3!$FX$101</f>
        <v>3676</v>
      </c>
      <c r="H29" s="123">
        <f>+[3]NUTS3!$FY$101</f>
        <v>1193</v>
      </c>
      <c r="I29" s="122">
        <f>+[3]NUTS3!$GM$101</f>
        <v>276</v>
      </c>
      <c r="J29" s="123">
        <f>+[3]NUTS3!$GN$101</f>
        <v>47</v>
      </c>
      <c r="K29" s="76">
        <f>[15]NUTS3!$CS$101</f>
        <v>3707</v>
      </c>
      <c r="L29" s="124">
        <f>+[16]NUTS3!$B$101</f>
        <v>2666</v>
      </c>
      <c r="M29" s="125"/>
      <c r="N29" s="125"/>
      <c r="O29" s="111"/>
      <c r="P29" s="110"/>
      <c r="Q29" s="93"/>
      <c r="R29" s="119"/>
      <c r="U29" s="119"/>
      <c r="V29" s="119"/>
      <c r="W29" s="119"/>
      <c r="X29" s="119"/>
      <c r="Y29" s="119"/>
      <c r="Z29" s="84"/>
      <c r="AA29" s="84"/>
      <c r="AB29" s="84"/>
      <c r="AC29" s="84"/>
      <c r="AD29" s="106"/>
      <c r="AE29" s="106"/>
      <c r="AF29" s="106"/>
      <c r="AH29" s="40" t="s">
        <v>31</v>
      </c>
      <c r="AI29" s="94"/>
      <c r="AJ29" s="41">
        <f>+D40</f>
        <v>345</v>
      </c>
    </row>
    <row r="30" spans="1:38" ht="25.5" customHeight="1">
      <c r="A30" s="1"/>
      <c r="B30" s="69">
        <v>2</v>
      </c>
      <c r="C30" s="126">
        <f>+[4]NUTS3!$DF$101</f>
        <v>16</v>
      </c>
      <c r="D30" s="121">
        <f>+[4]NUTS3!$DG$101</f>
        <v>16</v>
      </c>
      <c r="E30" s="122">
        <f>+[4]NUTS3!$FI$101</f>
        <v>3593</v>
      </c>
      <c r="F30" s="123">
        <f>+[4]NUTS3!$FJ$101</f>
        <v>915</v>
      </c>
      <c r="G30" s="122">
        <f>+[4]NUTS3!$FX$101</f>
        <v>4645</v>
      </c>
      <c r="H30" s="123">
        <f>+[4]NUTS3!$FY$101</f>
        <v>2354</v>
      </c>
      <c r="I30" s="122">
        <f>+[4]NUTS3!$GM$101</f>
        <v>287</v>
      </c>
      <c r="J30" s="123">
        <f>+[4]NUTS3!$GN$101</f>
        <v>80</v>
      </c>
      <c r="K30" s="85">
        <f>[17]NUTS3!$CS$101</f>
        <v>6102</v>
      </c>
      <c r="L30" s="127">
        <f>+L29+[16]NUTS3!$C$101</f>
        <v>7582</v>
      </c>
      <c r="M30" s="125"/>
      <c r="N30" s="125"/>
      <c r="O30" s="111"/>
      <c r="P30" s="110"/>
      <c r="Q30" s="93"/>
      <c r="R30" s="119"/>
      <c r="U30" s="119"/>
      <c r="V30" s="119"/>
      <c r="W30" s="119"/>
      <c r="X30" s="119"/>
      <c r="Y30" s="119"/>
      <c r="Z30" s="84"/>
      <c r="AA30" s="84"/>
      <c r="AB30" s="84"/>
      <c r="AC30" s="84"/>
      <c r="AD30" s="106"/>
      <c r="AE30" s="106"/>
      <c r="AF30" s="106"/>
      <c r="AH30" s="40" t="s">
        <v>32</v>
      </c>
      <c r="AJ30" s="41">
        <f>+F40</f>
        <v>11492</v>
      </c>
    </row>
    <row r="31" spans="1:38" ht="25.5" customHeight="1">
      <c r="A31" s="1"/>
      <c r="B31" s="69">
        <v>3</v>
      </c>
      <c r="C31" s="126">
        <f>+[5]NUTS3!$DF$101</f>
        <v>62</v>
      </c>
      <c r="D31" s="121">
        <f>+[5]NUTS3!$DG$101</f>
        <v>62</v>
      </c>
      <c r="E31" s="122">
        <f>+[5]NUTS3!$FI$101</f>
        <v>3364</v>
      </c>
      <c r="F31" s="123">
        <f>+[5]NUTS3!$FJ$101</f>
        <v>1612</v>
      </c>
      <c r="G31" s="122">
        <f>+[5]NUTS3!$FX$101</f>
        <v>5528</v>
      </c>
      <c r="H31" s="123">
        <f>+[5]NUTS3!$FY$101</f>
        <v>3520</v>
      </c>
      <c r="I31" s="122">
        <f>+[5]NUTS3!$GM$101</f>
        <v>288</v>
      </c>
      <c r="J31" s="123">
        <f>+[5]NUTS3!$GN$101</f>
        <v>113</v>
      </c>
      <c r="K31" s="85">
        <f>[18]NUTS3!$CS$101</f>
        <v>8670</v>
      </c>
      <c r="L31" s="127">
        <f>+L30+[16]NUTS3!$D$101</f>
        <v>14834</v>
      </c>
      <c r="M31" s="125"/>
      <c r="N31" s="125"/>
      <c r="O31" s="111"/>
      <c r="P31" s="110"/>
      <c r="Q31" s="93"/>
      <c r="R31" s="119"/>
      <c r="U31" s="119"/>
      <c r="V31" s="119"/>
      <c r="W31" s="119"/>
      <c r="X31" s="119"/>
      <c r="Y31" s="119"/>
      <c r="Z31" s="84"/>
      <c r="AA31" s="84"/>
      <c r="AB31" s="84"/>
      <c r="AC31" s="84"/>
      <c r="AD31" s="106"/>
      <c r="AE31" s="106"/>
      <c r="AF31" s="106"/>
      <c r="AH31" s="40" t="s">
        <v>33</v>
      </c>
      <c r="AI31" s="94"/>
      <c r="AJ31" s="41">
        <f>+H40</f>
        <v>4380</v>
      </c>
    </row>
    <row r="32" spans="1:38" ht="25.5" customHeight="1">
      <c r="A32" s="1"/>
      <c r="B32" s="69">
        <v>4</v>
      </c>
      <c r="C32" s="126">
        <f>+[6]NUTS3!$DF$101</f>
        <v>93</v>
      </c>
      <c r="D32" s="121">
        <f>+[6]NUTS3!$DG$101</f>
        <v>94</v>
      </c>
      <c r="E32" s="122">
        <f>+[6]NUTS3!$FI$101</f>
        <v>3464</v>
      </c>
      <c r="F32" s="123">
        <f>+[6]NUTS3!$FJ$101</f>
        <v>2432</v>
      </c>
      <c r="G32" s="122">
        <f>+[6]NUTS3!$FX$101</f>
        <v>5830</v>
      </c>
      <c r="H32" s="123">
        <f>+[6]NUTS3!$FY$101</f>
        <v>4065</v>
      </c>
      <c r="I32" s="122">
        <f>+[6]NUTS3!$GM$101</f>
        <v>327</v>
      </c>
      <c r="J32" s="123">
        <f>+[6]NUTS3!$GN$101</f>
        <v>176</v>
      </c>
      <c r="K32" s="85">
        <f>[19]NUTS3!$CS$101</f>
        <v>7941</v>
      </c>
      <c r="L32" s="127">
        <f>+L31+[16]NUTS3!$E$101</f>
        <v>20431</v>
      </c>
      <c r="M32" s="125"/>
      <c r="N32" s="125"/>
      <c r="O32" s="111"/>
      <c r="P32" s="110"/>
      <c r="Q32" s="93"/>
      <c r="R32" s="119"/>
      <c r="U32" s="119"/>
      <c r="V32" s="119"/>
      <c r="W32" s="119"/>
      <c r="X32" s="119"/>
      <c r="Y32" s="119"/>
      <c r="Z32" s="84"/>
      <c r="AA32" s="84"/>
      <c r="AB32" s="84"/>
      <c r="AC32" s="84"/>
      <c r="AD32" s="106"/>
      <c r="AE32" s="106"/>
      <c r="AF32" s="106"/>
      <c r="AH32" s="40" t="s">
        <v>34</v>
      </c>
      <c r="AJ32" s="128">
        <f>+J40</f>
        <v>643</v>
      </c>
    </row>
    <row r="33" spans="1:40" ht="25.5" customHeight="1">
      <c r="A33" s="1"/>
      <c r="B33" s="69">
        <v>5</v>
      </c>
      <c r="C33" s="126">
        <f>+[7]NUTS3!$DF$101</f>
        <v>135</v>
      </c>
      <c r="D33" s="121">
        <f>+[7]NUTS3!$DG$101</f>
        <v>137</v>
      </c>
      <c r="E33" s="122">
        <f>+[7]NUTS3!$FI$101</f>
        <v>3410</v>
      </c>
      <c r="F33" s="123">
        <f>+[7]NUTS3!$FJ$101</f>
        <v>2876</v>
      </c>
      <c r="G33" s="122">
        <f>+[7]NUTS3!$FX$101</f>
        <v>5057</v>
      </c>
      <c r="H33" s="123">
        <f>+[7]NUTS3!$FY$101</f>
        <v>4331</v>
      </c>
      <c r="I33" s="122">
        <f>+[7]NUTS3!$GM$101</f>
        <v>333</v>
      </c>
      <c r="J33" s="123">
        <f>+[7]NUTS3!$GN$101</f>
        <v>205</v>
      </c>
      <c r="K33" s="85">
        <f>[20]NUTS3!$CS$101</f>
        <v>8602</v>
      </c>
      <c r="L33" s="127">
        <f>+L32+[16]NUTS3!$F$101</f>
        <v>27636</v>
      </c>
      <c r="M33" s="125"/>
      <c r="N33" s="125"/>
      <c r="O33" s="111"/>
      <c r="P33" s="110"/>
      <c r="Q33" s="93"/>
      <c r="R33" s="119"/>
      <c r="U33" s="119"/>
      <c r="V33" s="119"/>
      <c r="W33" s="119"/>
      <c r="X33" s="119"/>
      <c r="Y33" s="119"/>
      <c r="Z33" s="84"/>
      <c r="AA33" s="84"/>
      <c r="AB33" s="84"/>
      <c r="AC33" s="84"/>
      <c r="AD33" s="106"/>
      <c r="AE33" s="106"/>
      <c r="AF33" s="106"/>
      <c r="AH33" s="88" t="s">
        <v>35</v>
      </c>
      <c r="AI33" s="94"/>
      <c r="AJ33" s="41">
        <f>+L40</f>
        <v>45521</v>
      </c>
      <c r="AK33" s="129"/>
      <c r="AL33" s="129"/>
      <c r="AM33" s="129"/>
      <c r="AN33" s="129"/>
    </row>
    <row r="34" spans="1:40" ht="25.5" customHeight="1">
      <c r="A34" s="1"/>
      <c r="B34" s="69">
        <v>6</v>
      </c>
      <c r="C34" s="126">
        <f>+[8]NUTS3!$DF$101</f>
        <v>171</v>
      </c>
      <c r="D34" s="121">
        <f>+[8]NUTS3!$DG$101</f>
        <v>185</v>
      </c>
      <c r="E34" s="122">
        <f>+[8]NUTS3!$FI$101</f>
        <v>3173</v>
      </c>
      <c r="F34" s="123">
        <f>+[8]NUTS3!$FJ$101</f>
        <v>2944</v>
      </c>
      <c r="G34" s="122">
        <f>+[8]NUTS3!$FX$101</f>
        <v>3797</v>
      </c>
      <c r="H34" s="123">
        <f>+[8]NUTS3!$FY$101</f>
        <v>4378</v>
      </c>
      <c r="I34" s="122">
        <f>+[8]NUTS3!$GM$101</f>
        <v>341</v>
      </c>
      <c r="J34" s="123">
        <f>+[8]NUTS3!$GN$101</f>
        <v>251</v>
      </c>
      <c r="K34" s="85">
        <f>[21]NUTS3!$CS$101</f>
        <v>4216</v>
      </c>
      <c r="L34" s="127">
        <f>+L33+[16]NUTS3!$G$101</f>
        <v>31546</v>
      </c>
      <c r="M34" s="125"/>
      <c r="N34" s="125"/>
      <c r="O34" s="111"/>
      <c r="P34" s="110"/>
      <c r="Q34" s="93"/>
      <c r="R34" s="119"/>
      <c r="U34" s="119"/>
      <c r="V34" s="119"/>
      <c r="W34" s="119"/>
      <c r="X34" s="119"/>
      <c r="Y34" s="119"/>
      <c r="Z34" s="84"/>
      <c r="AA34" s="84"/>
      <c r="AB34" s="84"/>
      <c r="AC34" s="84"/>
      <c r="AD34" s="106"/>
      <c r="AE34" s="106"/>
      <c r="AF34" s="106"/>
      <c r="AH34" s="40" t="s">
        <v>36</v>
      </c>
      <c r="AI34" s="94"/>
      <c r="AJ34" s="41">
        <f>+AB20</f>
        <v>14620</v>
      </c>
      <c r="AK34" s="108"/>
      <c r="AL34" s="129"/>
      <c r="AM34" s="129"/>
      <c r="AN34" s="129"/>
    </row>
    <row r="35" spans="1:40" ht="25.5" customHeight="1">
      <c r="A35" s="1"/>
      <c r="B35" s="69">
        <v>7</v>
      </c>
      <c r="C35" s="126">
        <f>+[9]NUTS3!$DF$101</f>
        <v>184</v>
      </c>
      <c r="D35" s="121">
        <f>+[9]NUTS3!$DG$101</f>
        <v>211</v>
      </c>
      <c r="E35" s="122">
        <f>+[9]NUTS3!$FI$101</f>
        <v>2200</v>
      </c>
      <c r="F35" s="123">
        <f>+[9]NUTS3!$FJ$101</f>
        <v>4140</v>
      </c>
      <c r="G35" s="122">
        <f>+[9]NUTS3!$FX$101</f>
        <v>174</v>
      </c>
      <c r="H35" s="123">
        <f>+[9]NUTS3!$FY$101</f>
        <v>4380</v>
      </c>
      <c r="I35" s="122">
        <f>+[9]NUTS3!$GM$101</f>
        <v>351</v>
      </c>
      <c r="J35" s="123">
        <f>+[9]NUTS3!$GN$101</f>
        <v>341</v>
      </c>
      <c r="K35" s="85">
        <f>[22]NUTS3!$CS$101</f>
        <v>2007</v>
      </c>
      <c r="L35" s="127">
        <f>+L34+[16]NUTS3!$H$101</f>
        <v>32776</v>
      </c>
      <c r="M35" s="125"/>
      <c r="N35" s="125"/>
      <c r="O35" s="111"/>
      <c r="P35" s="110"/>
      <c r="Q35" s="93"/>
      <c r="R35" s="119"/>
      <c r="U35" s="119"/>
      <c r="V35" s="119"/>
      <c r="W35" s="119"/>
      <c r="X35" s="119"/>
      <c r="Y35" s="119"/>
      <c r="Z35" s="84"/>
      <c r="AA35" s="84"/>
      <c r="AB35" s="84"/>
      <c r="AC35" s="84"/>
      <c r="AD35" s="106"/>
      <c r="AE35" s="106"/>
      <c r="AF35" s="106"/>
      <c r="AH35" s="40" t="s">
        <v>37</v>
      </c>
      <c r="AI35" s="93"/>
      <c r="AJ35" s="41">
        <f>+AF20</f>
        <v>0</v>
      </c>
      <c r="AK35" s="129"/>
      <c r="AL35" s="129"/>
      <c r="AM35" s="129"/>
      <c r="AN35" s="129"/>
    </row>
    <row r="36" spans="1:40" ht="25.5" customHeight="1">
      <c r="A36" s="1"/>
      <c r="B36" s="69">
        <v>8</v>
      </c>
      <c r="C36" s="126">
        <f>+[10]NUTS3!$DF$101</f>
        <v>190</v>
      </c>
      <c r="D36" s="121">
        <f>+[10]NUTS3!$DG$101</f>
        <v>250</v>
      </c>
      <c r="E36" s="122">
        <f>+[10]NUTS3!$FI$101</f>
        <v>4364</v>
      </c>
      <c r="F36" s="123">
        <f>+[10]NUTS3!$FJ$101</f>
        <v>6497</v>
      </c>
      <c r="G36" s="122">
        <f>+[10]NUTS3!$FX$101</f>
        <v>93</v>
      </c>
      <c r="H36" s="123">
        <f>+[10]NUTS3!$FY$101</f>
        <v>4380</v>
      </c>
      <c r="I36" s="122">
        <f>+[10]NUTS3!$GM$101</f>
        <v>438</v>
      </c>
      <c r="J36" s="123">
        <f>+[10]NUTS3!$GN$101</f>
        <v>476</v>
      </c>
      <c r="K36" s="85">
        <f>[23]NUTS3!$CS$101</f>
        <v>1864</v>
      </c>
      <c r="L36" s="127">
        <f>+L35+[16]NUTS3!$I$101</f>
        <v>34143</v>
      </c>
      <c r="M36" s="125"/>
      <c r="N36" s="125"/>
      <c r="O36" s="111"/>
      <c r="P36" s="110"/>
      <c r="Q36" s="93"/>
      <c r="R36" s="119"/>
      <c r="U36" s="119"/>
      <c r="V36" s="119"/>
      <c r="W36" s="119"/>
      <c r="X36" s="119"/>
      <c r="Y36" s="119"/>
      <c r="Z36" s="84"/>
      <c r="AA36" s="84"/>
      <c r="AB36" s="84"/>
      <c r="AC36" s="84"/>
      <c r="AD36" s="106"/>
      <c r="AE36" s="106"/>
      <c r="AF36" s="106"/>
      <c r="AH36" s="40" t="s">
        <v>38</v>
      </c>
      <c r="AI36" s="93"/>
      <c r="AJ36" s="41">
        <f>+AD20</f>
        <v>44</v>
      </c>
      <c r="AK36" s="107"/>
      <c r="AL36" s="107"/>
      <c r="AM36" s="107"/>
      <c r="AN36" s="107"/>
    </row>
    <row r="37" spans="1:40" ht="25.5" customHeight="1">
      <c r="A37" s="1"/>
      <c r="B37" s="69">
        <v>9</v>
      </c>
      <c r="C37" s="126">
        <f>+[11]NUTS3!$DF$101</f>
        <v>191</v>
      </c>
      <c r="D37" s="121">
        <f>+[11]NUTS3!$DG$101</f>
        <v>283</v>
      </c>
      <c r="E37" s="122">
        <f>+[11]NUTS3!$FI$101</f>
        <v>5875</v>
      </c>
      <c r="F37" s="123">
        <f>+[11]NUTS3!$FJ$101</f>
        <v>8322</v>
      </c>
      <c r="G37" s="122">
        <f>+[11]NUTS3!$FX$101</f>
        <v>1</v>
      </c>
      <c r="H37" s="123">
        <f>+[11]NUTS3!$FY$101</f>
        <v>4380</v>
      </c>
      <c r="I37" s="122">
        <f>+[11]NUTS3!$GM$101</f>
        <v>450</v>
      </c>
      <c r="J37" s="123">
        <f>+[11]NUTS3!$GN$101</f>
        <v>550</v>
      </c>
      <c r="K37" s="85">
        <f>[24]NUTS3!$CS$101</f>
        <v>3290</v>
      </c>
      <c r="L37" s="127">
        <f>+L36+[16]NUTS3!$J$101</f>
        <v>37182</v>
      </c>
      <c r="M37" s="125"/>
      <c r="N37" s="125"/>
      <c r="O37" s="111"/>
      <c r="P37" s="110"/>
      <c r="Q37" s="93"/>
      <c r="R37" s="119"/>
      <c r="U37" s="119"/>
      <c r="V37" s="119"/>
      <c r="W37" s="119"/>
      <c r="X37" s="119"/>
      <c r="Y37" s="119"/>
      <c r="Z37" s="84"/>
      <c r="AA37" s="84"/>
      <c r="AB37" s="84"/>
      <c r="AC37" s="84"/>
      <c r="AD37" s="106"/>
      <c r="AE37" s="106"/>
      <c r="AF37" s="106"/>
      <c r="AK37" s="112"/>
      <c r="AL37" s="112"/>
      <c r="AM37" s="112"/>
      <c r="AN37" s="112"/>
    </row>
    <row r="38" spans="1:40" ht="25.5" customHeight="1">
      <c r="A38" s="1"/>
      <c r="B38" s="69">
        <v>10</v>
      </c>
      <c r="C38" s="126">
        <f>+[12]NUTS3!$DF$101</f>
        <v>185</v>
      </c>
      <c r="D38" s="121">
        <f>+[12]NUTS3!$DG$101</f>
        <v>310</v>
      </c>
      <c r="E38" s="122">
        <f>+[12]NUTS3!$FI$101</f>
        <v>6237</v>
      </c>
      <c r="F38" s="123">
        <f>+[12]NUTS3!$FJ$101</f>
        <v>9674</v>
      </c>
      <c r="G38" s="122">
        <f>+[12]NUTS3!$FX$101</f>
        <v>1</v>
      </c>
      <c r="H38" s="123">
        <f>+[12]NUTS3!$FY$101</f>
        <v>4380</v>
      </c>
      <c r="I38" s="122">
        <f>+[12]NUTS3!$GM$101</f>
        <v>399</v>
      </c>
      <c r="J38" s="123">
        <f>+[12]NUTS3!$GN$101</f>
        <v>583</v>
      </c>
      <c r="K38" s="130">
        <f>[25]NUTS3!$CS$101</f>
        <v>5097</v>
      </c>
      <c r="L38" s="131">
        <f>+L37+[16]NUTS3!$K$101</f>
        <v>41294</v>
      </c>
      <c r="M38" s="125"/>
      <c r="N38" s="125"/>
      <c r="O38" s="125"/>
      <c r="P38" s="125"/>
      <c r="Q38" s="93"/>
      <c r="R38" s="119"/>
      <c r="U38" s="119"/>
      <c r="V38" s="119"/>
      <c r="W38" s="119"/>
      <c r="X38" s="119"/>
      <c r="Y38" s="119"/>
      <c r="Z38" s="84"/>
      <c r="AA38" s="84"/>
      <c r="AB38" s="84"/>
      <c r="AC38" s="84"/>
      <c r="AD38" s="106"/>
      <c r="AE38" s="106"/>
      <c r="AF38" s="106"/>
      <c r="AK38" s="111"/>
      <c r="AL38" s="111"/>
      <c r="AM38" s="111"/>
      <c r="AN38" s="115"/>
    </row>
    <row r="39" spans="1:40" ht="25.5" customHeight="1">
      <c r="A39" s="1"/>
      <c r="B39" s="69">
        <v>11</v>
      </c>
      <c r="C39" s="126">
        <f>+[13]NUTS3!$DF$101</f>
        <v>163</v>
      </c>
      <c r="D39" s="121">
        <f>+[13]NUTS3!$DG$101</f>
        <v>328</v>
      </c>
      <c r="E39" s="122">
        <f>+[13]NUTS3!$FI$101</f>
        <v>6603</v>
      </c>
      <c r="F39" s="123">
        <f>+[13]NUTS3!$FJ$101</f>
        <v>10771</v>
      </c>
      <c r="G39" s="122">
        <f>+[13]NUTS3!$FX$101</f>
        <v>1</v>
      </c>
      <c r="H39" s="123">
        <f>+[13]NUTS3!$FY$101</f>
        <v>4380</v>
      </c>
      <c r="I39" s="122">
        <f>+[13]NUTS3!$GM$101</f>
        <v>384</v>
      </c>
      <c r="J39" s="123">
        <f>+[13]NUTS3!$GN$101</f>
        <v>619</v>
      </c>
      <c r="K39" s="130">
        <f>[26]NUTS3!$CS$101</f>
        <v>4968</v>
      </c>
      <c r="L39" s="131">
        <f>+L38+[16]NUTS3!$L$101</f>
        <v>44722</v>
      </c>
      <c r="M39" s="125"/>
      <c r="N39" s="125"/>
      <c r="O39" s="125"/>
      <c r="P39" s="125"/>
      <c r="Q39" s="93"/>
      <c r="R39" s="119"/>
      <c r="U39" s="84"/>
      <c r="V39" s="84"/>
      <c r="W39" s="84"/>
      <c r="X39" s="84"/>
      <c r="Y39" s="84"/>
      <c r="Z39" s="84"/>
      <c r="AA39" s="84"/>
      <c r="AB39" s="84"/>
      <c r="AC39" s="84"/>
      <c r="AD39" s="106"/>
      <c r="AE39" s="106"/>
      <c r="AF39" s="106"/>
      <c r="AK39" s="111"/>
      <c r="AL39" s="111"/>
      <c r="AM39" s="111"/>
      <c r="AN39" s="115"/>
    </row>
    <row r="40" spans="1:40" ht="25.5" customHeight="1" thickBot="1">
      <c r="A40" s="1"/>
      <c r="B40" s="132">
        <v>12</v>
      </c>
      <c r="C40" s="133">
        <f>+[14]NUTS3!$DF$101</f>
        <v>124</v>
      </c>
      <c r="D40" s="134">
        <f>+[14]NUTS3!$DG$101</f>
        <v>345</v>
      </c>
      <c r="E40" s="135">
        <f>+[14]NUTS3!$FI$101</f>
        <v>5866</v>
      </c>
      <c r="F40" s="136">
        <f>+[14]NUTS3!$FJ$101</f>
        <v>11492</v>
      </c>
      <c r="G40" s="135">
        <f>+[14]NUTS3!$FX$101</f>
        <v>0</v>
      </c>
      <c r="H40" s="136">
        <f>+[14]NUTS3!$FY$101</f>
        <v>4380</v>
      </c>
      <c r="I40" s="135">
        <f>+[14]NUTS3!$GM$101</f>
        <v>348</v>
      </c>
      <c r="J40" s="136">
        <f>+[14]NUTS3!$GN$101</f>
        <v>643</v>
      </c>
      <c r="K40" s="137">
        <f>[27]NUTS3!$CS$101</f>
        <v>1647</v>
      </c>
      <c r="L40" s="138">
        <f>+L39+[16]NUTS3!$M$101</f>
        <v>45521</v>
      </c>
      <c r="M40" s="125"/>
      <c r="N40" s="125"/>
      <c r="O40" s="125"/>
      <c r="P40" s="125"/>
      <c r="Q40" s="93"/>
      <c r="R40" s="119"/>
      <c r="U40" s="84"/>
      <c r="V40" s="84"/>
      <c r="W40" s="84"/>
      <c r="X40" s="84"/>
      <c r="Y40" s="84"/>
      <c r="Z40" s="84"/>
      <c r="AA40" s="84"/>
      <c r="AB40" s="84"/>
      <c r="AC40" s="84"/>
      <c r="AD40" s="106"/>
      <c r="AE40" s="106"/>
      <c r="AF40" s="106"/>
      <c r="AH40" s="111"/>
      <c r="AI40" s="93"/>
      <c r="AJ40" s="93"/>
      <c r="AK40" s="111"/>
      <c r="AL40" s="111"/>
      <c r="AM40" s="111"/>
      <c r="AN40" s="115"/>
    </row>
    <row r="41" spans="1:40" ht="25.5" customHeight="1" thickTop="1">
      <c r="A41" s="1"/>
      <c r="B41" s="139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93"/>
      <c r="Q41" s="93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106"/>
      <c r="AE41" s="106"/>
      <c r="AF41" s="106"/>
      <c r="AH41" s="119"/>
      <c r="AI41" s="93"/>
      <c r="AJ41" s="93"/>
      <c r="AK41" s="119"/>
      <c r="AL41" s="119"/>
      <c r="AM41" s="119"/>
      <c r="AN41" s="119"/>
    </row>
    <row r="42" spans="1:40" ht="25.5" customHeight="1">
      <c r="A42" s="1"/>
      <c r="B42" s="139"/>
      <c r="C42" s="84"/>
      <c r="D42" s="84"/>
      <c r="E42" s="84"/>
      <c r="F42" s="84"/>
      <c r="G42" s="84"/>
      <c r="H42" s="84"/>
      <c r="I42" s="93"/>
      <c r="J42" s="140"/>
      <c r="K42" s="108"/>
      <c r="L42" s="108"/>
      <c r="M42" s="93"/>
      <c r="N42" s="84"/>
      <c r="O42" s="141"/>
      <c r="P42" s="142"/>
      <c r="Q42" s="93"/>
      <c r="R42" s="93"/>
      <c r="S42" s="93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106"/>
      <c r="AE42" s="106"/>
      <c r="AF42" s="106"/>
      <c r="AH42" s="119"/>
      <c r="AI42" s="93"/>
      <c r="AJ42" s="93"/>
      <c r="AK42" s="119"/>
      <c r="AL42" s="119"/>
      <c r="AM42" s="119"/>
      <c r="AN42" s="119"/>
    </row>
    <row r="43" spans="1:40" ht="20.100000000000001" customHeight="1">
      <c r="A43" s="1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AH43" s="119"/>
      <c r="AI43" s="93"/>
      <c r="AJ43" s="93"/>
      <c r="AK43" s="119"/>
      <c r="AL43" s="119"/>
      <c r="AM43" s="119"/>
      <c r="AN43" s="119"/>
    </row>
    <row r="44" spans="1:40" ht="20.100000000000001" customHeight="1">
      <c r="A44" s="143"/>
      <c r="B44" s="105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AH44" s="93"/>
      <c r="AI44" s="93"/>
      <c r="AK44" s="93"/>
      <c r="AL44" s="93"/>
      <c r="AM44" s="93"/>
      <c r="AN44" s="93"/>
    </row>
    <row r="45" spans="1:40" ht="20.100000000000001" customHeight="1">
      <c r="AG45" s="40"/>
      <c r="AH45" s="93"/>
      <c r="AI45" s="93"/>
      <c r="AJ45" s="93"/>
      <c r="AK45" s="93"/>
      <c r="AL45" s="93"/>
      <c r="AM45" s="93"/>
      <c r="AN45" s="93"/>
    </row>
    <row r="46" spans="1:40" ht="20.100000000000001" customHeight="1">
      <c r="AI46" s="11"/>
      <c r="AJ46" s="11"/>
      <c r="AK46" s="93"/>
      <c r="AL46" s="93"/>
      <c r="AM46" s="93"/>
      <c r="AN46" s="93"/>
    </row>
    <row r="47" spans="1:40" ht="20.100000000000001" customHeight="1">
      <c r="D47" s="144"/>
      <c r="AK47" s="93"/>
      <c r="AL47" s="93"/>
      <c r="AM47" s="93"/>
      <c r="AN47" s="93"/>
    </row>
    <row r="48" spans="1:40" ht="28.5" customHeight="1">
      <c r="P48" s="145"/>
      <c r="AK48" s="93"/>
      <c r="AL48" s="93"/>
      <c r="AM48" s="93"/>
      <c r="AN48" s="93"/>
    </row>
    <row r="49" spans="2:40" ht="20.100000000000001" customHeight="1">
      <c r="B49" s="146"/>
      <c r="D49" s="146"/>
      <c r="AK49" s="93"/>
      <c r="AL49" s="93"/>
      <c r="AM49" s="93"/>
      <c r="AN49" s="93"/>
    </row>
    <row r="50" spans="2:40" ht="20.100000000000001" customHeight="1">
      <c r="N50" s="11"/>
      <c r="O50" s="11"/>
      <c r="P50" s="147"/>
      <c r="Q50" s="11"/>
      <c r="R50" s="11"/>
      <c r="AK50" s="93"/>
      <c r="AL50" s="93"/>
      <c r="AM50" s="93"/>
      <c r="AN50" s="93"/>
    </row>
    <row r="51" spans="2:40" ht="20.100000000000001" customHeight="1">
      <c r="N51" s="11"/>
      <c r="O51" s="11"/>
      <c r="P51" s="48"/>
      <c r="Q51" s="11"/>
      <c r="R51" s="11"/>
      <c r="AK51" s="93"/>
      <c r="AL51" s="93"/>
      <c r="AM51" s="93"/>
      <c r="AN51" s="93"/>
    </row>
    <row r="52" spans="2:40" ht="20.100000000000001" customHeight="1">
      <c r="N52" s="11"/>
      <c r="O52" s="11"/>
      <c r="P52" s="48"/>
      <c r="Q52" s="11"/>
      <c r="R52" s="11"/>
      <c r="AH52" s="93"/>
      <c r="AI52" s="93"/>
      <c r="AJ52" s="93"/>
      <c r="AK52" s="93"/>
      <c r="AL52" s="93"/>
      <c r="AM52" s="93"/>
      <c r="AN52" s="93"/>
    </row>
    <row r="53" spans="2:40" ht="20.100000000000001" customHeight="1">
      <c r="N53" s="11"/>
      <c r="O53" s="11"/>
      <c r="P53" s="48"/>
      <c r="Q53" s="11"/>
      <c r="R53" s="11"/>
      <c r="AH53" s="93"/>
      <c r="AI53" s="93"/>
      <c r="AJ53" s="93"/>
      <c r="AK53" s="93"/>
      <c r="AL53" s="93"/>
      <c r="AM53" s="93"/>
      <c r="AN53" s="93"/>
    </row>
    <row r="54" spans="2:40" ht="20.100000000000001" customHeight="1">
      <c r="N54" s="11"/>
      <c r="O54" s="105"/>
      <c r="P54" s="148"/>
      <c r="Q54" s="11"/>
      <c r="R54" s="11"/>
      <c r="AH54" s="30"/>
      <c r="AI54" s="30"/>
      <c r="AJ54" s="116"/>
      <c r="AK54" s="116"/>
      <c r="AL54" s="30"/>
      <c r="AM54" s="30"/>
      <c r="AN54" s="30"/>
    </row>
    <row r="55" spans="2:40" ht="20.100000000000001" customHeight="1">
      <c r="N55" s="11"/>
      <c r="O55" s="105"/>
      <c r="P55" s="148"/>
      <c r="Q55" s="11"/>
      <c r="R55" s="11"/>
      <c r="AJ55" s="149"/>
      <c r="AK55" s="149"/>
    </row>
    <row r="56" spans="2:40" ht="20.100000000000001" customHeight="1">
      <c r="N56" s="11"/>
      <c r="O56" s="105"/>
      <c r="P56" s="150"/>
      <c r="Q56" s="11"/>
      <c r="R56" s="11"/>
    </row>
    <row r="57" spans="2:40" ht="20.100000000000001" customHeight="1">
      <c r="N57" s="11"/>
      <c r="O57" s="105"/>
      <c r="P57" s="150"/>
      <c r="Q57" s="11"/>
      <c r="R57" s="11"/>
    </row>
    <row r="58" spans="2:40" ht="20.100000000000001" customHeight="1">
      <c r="N58" s="11"/>
      <c r="O58" s="105"/>
      <c r="P58" s="150"/>
      <c r="Q58" s="11"/>
      <c r="R58" s="11"/>
    </row>
    <row r="59" spans="2:40" ht="20.100000000000001" customHeight="1">
      <c r="N59" s="11"/>
      <c r="O59" s="105"/>
      <c r="P59" s="150"/>
      <c r="Q59" s="11"/>
      <c r="R59" s="11"/>
    </row>
    <row r="60" spans="2:40" ht="20.100000000000001" customHeight="1">
      <c r="N60" s="11"/>
      <c r="O60" s="105"/>
      <c r="P60" s="150"/>
      <c r="Q60" s="11"/>
      <c r="R60" s="11"/>
    </row>
    <row r="61" spans="2:40" ht="21.75" customHeight="1">
      <c r="N61" s="11"/>
      <c r="O61" s="105"/>
      <c r="P61" s="150"/>
      <c r="Q61" s="11"/>
      <c r="R61" s="151"/>
      <c r="S61" s="152"/>
      <c r="T61" s="152"/>
      <c r="U61" s="152"/>
      <c r="V61" s="152"/>
      <c r="W61" s="152"/>
      <c r="X61" s="152"/>
      <c r="AI61" s="128"/>
      <c r="AJ61" s="128"/>
    </row>
    <row r="62" spans="2:40" ht="21.75" customHeight="1">
      <c r="N62" s="11"/>
      <c r="O62" s="105"/>
      <c r="P62" s="150"/>
      <c r="Q62" s="11"/>
      <c r="R62" s="151"/>
      <c r="S62" s="152"/>
      <c r="T62" s="152"/>
      <c r="U62" s="152"/>
      <c r="V62" s="152"/>
      <c r="W62" s="152"/>
      <c r="X62" s="152"/>
      <c r="AI62" s="128"/>
      <c r="AJ62" s="128"/>
    </row>
    <row r="63" spans="2:40" ht="21.95" customHeight="1">
      <c r="B63" s="153"/>
      <c r="C63" s="111"/>
      <c r="D63" s="111"/>
      <c r="E63" s="111"/>
      <c r="F63" s="111"/>
      <c r="G63" s="111"/>
      <c r="H63" s="111"/>
      <c r="I63" s="154"/>
      <c r="J63" s="152"/>
      <c r="N63" s="151"/>
      <c r="O63" s="105"/>
      <c r="P63" s="150"/>
      <c r="Q63" s="151"/>
      <c r="R63" s="155"/>
      <c r="S63" s="156"/>
      <c r="T63" s="156"/>
      <c r="U63" s="156"/>
      <c r="V63" s="156"/>
      <c r="W63" s="156"/>
      <c r="X63" s="156"/>
      <c r="AI63" s="128"/>
      <c r="AJ63" s="128"/>
    </row>
    <row r="64" spans="2:40" ht="21.95" customHeight="1">
      <c r="B64" s="153"/>
      <c r="C64" s="111"/>
      <c r="D64" s="111"/>
      <c r="E64" s="111"/>
      <c r="F64" s="111"/>
      <c r="G64" s="111"/>
      <c r="H64" s="111"/>
      <c r="I64" s="154"/>
      <c r="J64" s="152"/>
      <c r="K64" s="152"/>
      <c r="L64" s="152"/>
      <c r="M64" s="152"/>
      <c r="N64" s="151"/>
      <c r="O64" s="105"/>
      <c r="P64" s="150"/>
      <c r="Q64" s="151"/>
      <c r="R64" s="155"/>
      <c r="S64" s="156"/>
      <c r="T64" s="156"/>
      <c r="U64" s="156"/>
      <c r="V64" s="156"/>
      <c r="W64" s="156"/>
      <c r="X64" s="156"/>
      <c r="AI64" s="128"/>
      <c r="AJ64" s="128"/>
    </row>
    <row r="65" spans="2:36" ht="21.95" customHeight="1">
      <c r="B65" s="105"/>
      <c r="C65" s="93"/>
      <c r="D65" s="93"/>
      <c r="E65" s="93"/>
      <c r="F65" s="93"/>
      <c r="G65" s="93"/>
      <c r="H65" s="93"/>
      <c r="I65" s="93"/>
      <c r="J65" s="156"/>
      <c r="K65" s="156"/>
      <c r="L65" s="156"/>
      <c r="M65" s="156"/>
      <c r="N65" s="155"/>
      <c r="O65" s="105"/>
      <c r="P65" s="157"/>
      <c r="Q65" s="155"/>
      <c r="R65" s="155"/>
      <c r="S65" s="156"/>
      <c r="T65" s="156"/>
      <c r="U65" s="156"/>
      <c r="V65" s="156"/>
      <c r="W65" s="156"/>
      <c r="X65" s="156"/>
      <c r="AI65" s="128"/>
      <c r="AJ65" s="128"/>
    </row>
    <row r="66" spans="2:36" ht="21.95" customHeight="1">
      <c r="B66" s="105"/>
      <c r="C66" s="93"/>
      <c r="D66" s="93"/>
      <c r="E66" s="93"/>
      <c r="F66" s="93"/>
      <c r="G66" s="93"/>
      <c r="H66" s="93"/>
      <c r="I66" s="93"/>
      <c r="J66" s="156"/>
      <c r="K66" s="156"/>
      <c r="L66" s="156"/>
      <c r="M66" s="156"/>
      <c r="N66" s="155"/>
      <c r="O66" s="155"/>
      <c r="P66" s="155"/>
      <c r="Q66" s="155"/>
      <c r="R66" s="155"/>
      <c r="S66" s="156"/>
      <c r="T66" s="156"/>
      <c r="U66" s="156"/>
      <c r="V66" s="156"/>
      <c r="W66" s="156"/>
      <c r="X66" s="156"/>
      <c r="AI66" s="128"/>
      <c r="AJ66" s="128"/>
    </row>
    <row r="67" spans="2:36" ht="21.95" customHeight="1">
      <c r="B67" s="105"/>
      <c r="C67" s="93"/>
      <c r="D67" s="93"/>
      <c r="E67" s="93"/>
      <c r="F67" s="93"/>
      <c r="G67" s="93"/>
      <c r="H67" s="93"/>
      <c r="I67" s="93"/>
      <c r="J67" s="156"/>
      <c r="K67" s="156"/>
      <c r="L67" s="156"/>
      <c r="M67" s="156"/>
      <c r="N67" s="155"/>
      <c r="O67" s="155"/>
      <c r="P67" s="155"/>
      <c r="Q67" s="155"/>
      <c r="R67" s="155"/>
      <c r="S67" s="156"/>
      <c r="T67" s="156"/>
      <c r="U67" s="156"/>
      <c r="V67" s="156"/>
      <c r="W67" s="156"/>
      <c r="X67" s="156"/>
      <c r="AI67" s="128"/>
      <c r="AJ67" s="128"/>
    </row>
    <row r="68" spans="2:36" ht="21.95" customHeight="1">
      <c r="B68" s="105"/>
      <c r="C68" s="93"/>
      <c r="D68" s="93"/>
      <c r="E68" s="93"/>
      <c r="F68" s="93"/>
      <c r="G68" s="93"/>
      <c r="H68" s="93"/>
      <c r="I68" s="93"/>
      <c r="J68" s="156"/>
      <c r="K68" s="156"/>
      <c r="L68" s="156"/>
      <c r="M68" s="156"/>
      <c r="N68" s="155"/>
      <c r="O68" s="155"/>
      <c r="P68" s="155"/>
      <c r="Q68" s="155"/>
      <c r="R68" s="155"/>
      <c r="S68" s="156"/>
      <c r="T68" s="156"/>
      <c r="U68" s="156"/>
      <c r="V68" s="156"/>
      <c r="W68" s="156"/>
      <c r="X68" s="156"/>
      <c r="AI68" s="128"/>
      <c r="AJ68" s="128"/>
    </row>
    <row r="69" spans="2:36" ht="21.95" customHeight="1">
      <c r="B69" s="105"/>
      <c r="C69" s="93"/>
      <c r="D69" s="93"/>
      <c r="E69" s="93"/>
      <c r="F69" s="93"/>
      <c r="G69" s="93"/>
      <c r="H69" s="93"/>
      <c r="I69" s="93"/>
      <c r="J69" s="156"/>
      <c r="K69" s="156"/>
      <c r="L69" s="156"/>
      <c r="M69" s="156"/>
      <c r="N69" s="155"/>
      <c r="O69" s="155"/>
      <c r="P69" s="155"/>
      <c r="Q69" s="155"/>
      <c r="R69" s="155"/>
      <c r="S69" s="156"/>
      <c r="T69" s="156"/>
      <c r="U69" s="156"/>
      <c r="V69" s="156"/>
      <c r="W69" s="156"/>
      <c r="X69" s="156"/>
      <c r="AI69" s="128"/>
      <c r="AJ69" s="128"/>
    </row>
    <row r="70" spans="2:36" ht="21.95" customHeight="1">
      <c r="B70" s="105"/>
      <c r="C70" s="93"/>
      <c r="D70" s="93"/>
      <c r="E70" s="93"/>
      <c r="F70" s="93"/>
      <c r="G70" s="93"/>
      <c r="H70" s="93"/>
      <c r="I70" s="93"/>
      <c r="J70" s="156"/>
      <c r="K70" s="156"/>
      <c r="L70" s="156"/>
      <c r="M70" s="156"/>
      <c r="N70" s="155"/>
      <c r="O70" s="155"/>
      <c r="P70" s="155"/>
      <c r="Q70" s="155"/>
      <c r="R70" s="155"/>
      <c r="S70" s="156"/>
      <c r="T70" s="156"/>
      <c r="U70" s="156"/>
      <c r="V70" s="156"/>
      <c r="W70" s="156"/>
      <c r="X70" s="156"/>
      <c r="AI70" s="128"/>
      <c r="AJ70" s="128"/>
    </row>
    <row r="71" spans="2:36" ht="21.95" customHeight="1">
      <c r="B71" s="105"/>
      <c r="C71" s="93"/>
      <c r="D71" s="93"/>
      <c r="E71" s="93"/>
      <c r="F71" s="93"/>
      <c r="G71" s="93"/>
      <c r="H71" s="93"/>
      <c r="I71" s="93"/>
      <c r="J71" s="156"/>
      <c r="K71" s="156"/>
      <c r="L71" s="156"/>
      <c r="M71" s="156"/>
      <c r="N71" s="155"/>
      <c r="O71" s="155"/>
      <c r="P71" s="155"/>
      <c r="Q71" s="155"/>
      <c r="R71" s="155"/>
      <c r="S71" s="156"/>
      <c r="T71" s="156"/>
      <c r="U71" s="156"/>
      <c r="V71" s="156"/>
      <c r="W71" s="156"/>
      <c r="X71" s="156"/>
    </row>
    <row r="72" spans="2:36" ht="21.95" customHeight="1">
      <c r="B72" s="105"/>
      <c r="C72" s="93"/>
      <c r="D72" s="93"/>
      <c r="E72" s="93"/>
      <c r="F72" s="93"/>
      <c r="G72" s="93"/>
      <c r="H72" s="93"/>
      <c r="I72" s="93"/>
      <c r="J72" s="156"/>
      <c r="K72" s="156"/>
      <c r="L72" s="156"/>
      <c r="M72" s="156"/>
      <c r="N72" s="155"/>
      <c r="O72" s="155"/>
      <c r="P72" s="155"/>
      <c r="Q72" s="155"/>
      <c r="R72" s="155"/>
      <c r="S72" s="156"/>
      <c r="T72" s="156"/>
      <c r="U72" s="156"/>
      <c r="V72" s="156"/>
      <c r="W72" s="156"/>
      <c r="X72" s="156"/>
    </row>
    <row r="73" spans="2:36" ht="21.95" customHeight="1">
      <c r="B73" s="105"/>
      <c r="C73" s="93"/>
      <c r="D73" s="93"/>
      <c r="E73" s="93"/>
      <c r="F73" s="93"/>
      <c r="G73" s="93"/>
      <c r="H73" s="93"/>
      <c r="I73" s="93"/>
      <c r="J73" s="156"/>
      <c r="K73" s="156"/>
      <c r="L73" s="156"/>
      <c r="M73" s="156"/>
      <c r="N73" s="155"/>
      <c r="O73" s="155"/>
      <c r="P73" s="155"/>
      <c r="Q73" s="155"/>
      <c r="R73" s="155"/>
      <c r="S73" s="156"/>
      <c r="T73" s="156"/>
      <c r="U73" s="156"/>
      <c r="V73" s="156"/>
      <c r="W73" s="156"/>
      <c r="X73" s="156"/>
    </row>
    <row r="74" spans="2:36" ht="21.95" customHeight="1">
      <c r="B74" s="105"/>
      <c r="C74" s="93"/>
      <c r="D74" s="93"/>
      <c r="E74" s="93"/>
      <c r="F74" s="93"/>
      <c r="G74" s="93"/>
      <c r="H74" s="93"/>
      <c r="I74" s="93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</row>
    <row r="75" spans="2:36" ht="20.100000000000001" customHeight="1">
      <c r="B75" s="105"/>
      <c r="C75" s="93"/>
      <c r="D75" s="93"/>
      <c r="E75" s="93"/>
      <c r="F75" s="93"/>
      <c r="G75" s="93"/>
      <c r="H75" s="93"/>
      <c r="I75" s="93"/>
      <c r="J75" s="156"/>
      <c r="K75" s="156"/>
      <c r="L75" s="156"/>
      <c r="M75" s="156"/>
      <c r="N75" s="156"/>
      <c r="O75" s="156"/>
      <c r="P75" s="156"/>
      <c r="Q75" s="156"/>
    </row>
    <row r="76" spans="2:36" ht="20.100000000000001" customHeight="1">
      <c r="B76" s="105"/>
      <c r="C76" s="93"/>
      <c r="D76" s="93"/>
      <c r="E76" s="93"/>
      <c r="F76" s="93"/>
      <c r="G76" s="93"/>
      <c r="H76" s="93"/>
      <c r="I76" s="93"/>
      <c r="J76" s="156"/>
      <c r="K76" s="156"/>
      <c r="L76" s="156"/>
      <c r="M76" s="156"/>
      <c r="N76" s="156"/>
      <c r="O76" s="156"/>
      <c r="P76" s="156"/>
      <c r="Q76" s="156"/>
    </row>
    <row r="77" spans="2:36" ht="20.100000000000001" customHeight="1"/>
    <row r="78" spans="2:36" ht="20.100000000000001" customHeight="1"/>
    <row r="79" spans="2:36" ht="20.100000000000001" customHeight="1"/>
    <row r="80" spans="2:36" ht="20.100000000000001" customHeight="1"/>
    <row r="81" spans="3:4" ht="20.100000000000001" customHeight="1"/>
    <row r="82" spans="3:4" ht="20.100000000000001" customHeight="1"/>
    <row r="86" spans="3:4">
      <c r="C86" s="158"/>
    </row>
    <row r="87" spans="3:4">
      <c r="C87" s="159"/>
    </row>
    <row r="88" spans="3:4">
      <c r="D88" s="152"/>
    </row>
    <row r="89" spans="3:4">
      <c r="D89" s="160"/>
    </row>
    <row r="90" spans="3:4">
      <c r="D90" s="160"/>
    </row>
    <row r="129" spans="3:4">
      <c r="C129">
        <v>9590</v>
      </c>
      <c r="D129">
        <f>9*140</f>
        <v>1260</v>
      </c>
    </row>
    <row r="130" spans="3:4">
      <c r="C130">
        <v>9590</v>
      </c>
      <c r="D130">
        <v>1260</v>
      </c>
    </row>
    <row r="131" spans="3:4">
      <c r="C131">
        <v>9590</v>
      </c>
      <c r="D131">
        <v>1260</v>
      </c>
    </row>
    <row r="132" spans="3:4">
      <c r="C132">
        <f>+C129+C130+C131</f>
        <v>28770</v>
      </c>
      <c r="D132">
        <f>+D129+D130+D131</f>
        <v>3780</v>
      </c>
    </row>
    <row r="133" spans="3:4">
      <c r="C133">
        <f>+C132+D132</f>
        <v>32550</v>
      </c>
      <c r="D133">
        <f>+C133-5500</f>
        <v>27050</v>
      </c>
    </row>
  </sheetData>
  <mergeCells count="39">
    <mergeCell ref="I63:I64"/>
    <mergeCell ref="K24:L24"/>
    <mergeCell ref="C25:D25"/>
    <mergeCell ref="E25:F25"/>
    <mergeCell ref="G25:H25"/>
    <mergeCell ref="I25:J25"/>
    <mergeCell ref="K25:L25"/>
    <mergeCell ref="W5:X5"/>
    <mergeCell ref="Y5:Z5"/>
    <mergeCell ref="AA5:AB5"/>
    <mergeCell ref="AC5:AD5"/>
    <mergeCell ref="AE5:AF5"/>
    <mergeCell ref="B24:B28"/>
    <mergeCell ref="C24:D24"/>
    <mergeCell ref="E24:F24"/>
    <mergeCell ref="G24:H24"/>
    <mergeCell ref="I24:J24"/>
    <mergeCell ref="K5:L5"/>
    <mergeCell ref="M5:N5"/>
    <mergeCell ref="O5:P5"/>
    <mergeCell ref="Q5:R5"/>
    <mergeCell ref="S5:T5"/>
    <mergeCell ref="U5:V5"/>
    <mergeCell ref="Q4:T4"/>
    <mergeCell ref="U4:X4"/>
    <mergeCell ref="Y4:Z4"/>
    <mergeCell ref="AA4:AB4"/>
    <mergeCell ref="AC4:AD4"/>
    <mergeCell ref="AE4:AF4"/>
    <mergeCell ref="A1:A43"/>
    <mergeCell ref="B4:B8"/>
    <mergeCell ref="C4:F4"/>
    <mergeCell ref="G4:J4"/>
    <mergeCell ref="K4:N4"/>
    <mergeCell ref="O4:P4"/>
    <mergeCell ref="C5:D5"/>
    <mergeCell ref="E5:F5"/>
    <mergeCell ref="G5:H5"/>
    <mergeCell ref="I5:J5"/>
  </mergeCells>
  <printOptions horizontalCentered="1"/>
  <pageMargins left="0.15748031496062992" right="3.937007874015748E-2" top="0.78740157480314965" bottom="0.31496062992125984" header="0.19685039370078741" footer="0.15748031496062992"/>
  <pageSetup paperSize="9" scale="4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Q133"/>
  <sheetViews>
    <sheetView view="pageBreakPreview" topLeftCell="N1" zoomScale="75" zoomScaleNormal="100" workbookViewId="0">
      <selection activeCell="AJ30" sqref="AJ30"/>
    </sheetView>
  </sheetViews>
  <sheetFormatPr defaultColWidth="10.28515625" defaultRowHeight="12.75"/>
  <cols>
    <col min="1" max="1" width="7.42578125" customWidth="1"/>
    <col min="2" max="2" width="4.28515625" customWidth="1"/>
    <col min="3" max="3" width="10.85546875" customWidth="1"/>
    <col min="4" max="4" width="9.7109375" customWidth="1"/>
    <col min="5" max="5" width="11.7109375" customWidth="1"/>
    <col min="6" max="6" width="10.7109375" customWidth="1"/>
    <col min="7" max="7" width="11.140625" customWidth="1"/>
    <col min="8" max="8" width="10.28515625" customWidth="1"/>
    <col min="9" max="9" width="11.140625" customWidth="1"/>
    <col min="10" max="10" width="10.5703125" customWidth="1"/>
    <col min="11" max="11" width="11.5703125" customWidth="1"/>
    <col min="12" max="12" width="10.85546875" customWidth="1"/>
    <col min="13" max="13" width="10.42578125" customWidth="1"/>
    <col min="14" max="14" width="10.5703125" customWidth="1"/>
    <col min="15" max="15" width="11.42578125" customWidth="1"/>
    <col min="16" max="16" width="10.5703125" customWidth="1"/>
    <col min="17" max="17" width="10.7109375" customWidth="1"/>
    <col min="18" max="18" width="10.28515625" customWidth="1"/>
    <col min="19" max="20" width="10.7109375" customWidth="1"/>
    <col min="21" max="21" width="11.7109375" customWidth="1"/>
    <col min="22" max="22" width="11" customWidth="1"/>
    <col min="23" max="24" width="10.5703125" customWidth="1"/>
    <col min="25" max="27" width="10.28515625" customWidth="1"/>
    <col min="28" max="28" width="9.7109375" customWidth="1"/>
    <col min="29" max="29" width="10.7109375" customWidth="1"/>
    <col min="30" max="30" width="10" customWidth="1"/>
    <col min="31" max="32" width="9.85546875" customWidth="1"/>
    <col min="33" max="33" width="10.28515625" customWidth="1"/>
    <col min="34" max="34" width="6.140625" customWidth="1"/>
    <col min="35" max="35" width="56.5703125" customWidth="1"/>
    <col min="36" max="36" width="11.140625" customWidth="1"/>
  </cols>
  <sheetData>
    <row r="1" spans="1:43" ht="30" customHeight="1">
      <c r="A1" s="1">
        <v>59</v>
      </c>
      <c r="B1" s="2" t="s">
        <v>39</v>
      </c>
      <c r="C1" s="3"/>
      <c r="D1" s="3"/>
      <c r="E1" s="3"/>
      <c r="F1" s="3"/>
      <c r="G1" s="3"/>
      <c r="H1" s="3"/>
      <c r="I1" s="3"/>
      <c r="J1" s="3"/>
      <c r="K1" s="3"/>
      <c r="L1" s="3"/>
      <c r="M1" s="2" t="str">
        <f>+[2]NUTS3!$A$101</f>
        <v>Celkem ČR</v>
      </c>
      <c r="P1" s="4"/>
      <c r="R1" s="5"/>
      <c r="S1" s="6"/>
      <c r="T1" s="7"/>
      <c r="U1" s="7"/>
      <c r="V1" s="8"/>
      <c r="W1" s="9"/>
      <c r="X1" s="9"/>
      <c r="Y1" s="9"/>
      <c r="Z1" s="161"/>
      <c r="AA1" s="9"/>
      <c r="AB1" s="3"/>
      <c r="AC1" s="3"/>
      <c r="AD1" s="3"/>
      <c r="AI1" s="10"/>
      <c r="AJ1" s="11"/>
      <c r="AK1" s="11"/>
      <c r="AL1" s="11"/>
    </row>
    <row r="2" spans="1:43" ht="13.5" customHeight="1">
      <c r="A2" s="1"/>
      <c r="B2" s="4"/>
      <c r="D2" s="12"/>
      <c r="E2" s="13"/>
      <c r="F2" s="12"/>
      <c r="G2" s="12"/>
      <c r="H2" s="12"/>
      <c r="I2" s="12"/>
      <c r="J2" s="12"/>
      <c r="K2" s="12"/>
      <c r="L2" s="12"/>
      <c r="M2" s="12"/>
      <c r="P2" s="12"/>
      <c r="Q2" s="162"/>
      <c r="R2" s="5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I2" s="11"/>
      <c r="AJ2" s="11"/>
      <c r="AK2" s="11"/>
      <c r="AL2" s="11"/>
    </row>
    <row r="3" spans="1:43" ht="15.75" customHeight="1" thickBot="1">
      <c r="A3" s="1"/>
      <c r="B3" s="3"/>
      <c r="F3" s="5"/>
      <c r="G3" s="163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G3" s="14"/>
      <c r="AI3" s="15"/>
      <c r="AJ3" s="16"/>
      <c r="AK3" s="17"/>
      <c r="AL3" s="11"/>
    </row>
    <row r="4" spans="1:43" s="31" customFormat="1" ht="81.75" customHeight="1" thickTop="1">
      <c r="A4" s="1"/>
      <c r="B4" s="18" t="s">
        <v>1</v>
      </c>
      <c r="C4" s="19" t="s">
        <v>2</v>
      </c>
      <c r="D4" s="19"/>
      <c r="E4" s="19"/>
      <c r="F4" s="20"/>
      <c r="G4" s="21" t="s">
        <v>40</v>
      </c>
      <c r="H4" s="19"/>
      <c r="I4" s="19"/>
      <c r="J4" s="20"/>
      <c r="K4" s="21" t="s">
        <v>41</v>
      </c>
      <c r="L4" s="19"/>
      <c r="M4" s="19"/>
      <c r="N4" s="20"/>
      <c r="O4" s="21" t="s">
        <v>42</v>
      </c>
      <c r="P4" s="20"/>
      <c r="Q4" s="22" t="s">
        <v>43</v>
      </c>
      <c r="R4" s="23"/>
      <c r="S4" s="23"/>
      <c r="T4" s="24"/>
      <c r="U4" s="19" t="s">
        <v>8</v>
      </c>
      <c r="V4" s="19"/>
      <c r="W4" s="21" t="s">
        <v>44</v>
      </c>
      <c r="X4" s="20"/>
      <c r="Y4" s="21" t="s">
        <v>45</v>
      </c>
      <c r="Z4" s="20"/>
      <c r="AA4" s="21" t="s">
        <v>10</v>
      </c>
      <c r="AB4" s="20"/>
      <c r="AC4" s="19" t="s">
        <v>46</v>
      </c>
      <c r="AD4" s="25"/>
      <c r="AG4" s="26"/>
      <c r="AH4" s="26"/>
      <c r="AI4" s="27"/>
      <c r="AJ4" s="28"/>
      <c r="AK4" s="29"/>
      <c r="AL4" s="30"/>
    </row>
    <row r="5" spans="1:43" ht="24" customHeight="1" thickBot="1">
      <c r="A5" s="1"/>
      <c r="B5" s="32"/>
      <c r="C5" s="33" t="s">
        <v>12</v>
      </c>
      <c r="D5" s="34"/>
      <c r="E5" s="35" t="s">
        <v>13</v>
      </c>
      <c r="F5" s="36"/>
      <c r="G5" s="37" t="s">
        <v>12</v>
      </c>
      <c r="H5" s="34"/>
      <c r="I5" s="35" t="s">
        <v>13</v>
      </c>
      <c r="J5" s="36"/>
      <c r="K5" s="37" t="s">
        <v>12</v>
      </c>
      <c r="L5" s="34"/>
      <c r="M5" s="35" t="s">
        <v>13</v>
      </c>
      <c r="N5" s="36"/>
      <c r="O5" s="37" t="s">
        <v>13</v>
      </c>
      <c r="P5" s="36"/>
      <c r="Q5" s="37" t="s">
        <v>12</v>
      </c>
      <c r="R5" s="34"/>
      <c r="S5" s="35" t="s">
        <v>13</v>
      </c>
      <c r="T5" s="36"/>
      <c r="U5" s="38" t="s">
        <v>13</v>
      </c>
      <c r="V5" s="38"/>
      <c r="W5" s="37" t="s">
        <v>14</v>
      </c>
      <c r="X5" s="36"/>
      <c r="Y5" s="37" t="s">
        <v>47</v>
      </c>
      <c r="Z5" s="36"/>
      <c r="AA5" s="37" t="s">
        <v>14</v>
      </c>
      <c r="AB5" s="36"/>
      <c r="AC5" s="38" t="s">
        <v>48</v>
      </c>
      <c r="AD5" s="39"/>
      <c r="AG5" s="40"/>
      <c r="AH5" s="41"/>
      <c r="AI5" s="40"/>
      <c r="AJ5" s="42"/>
      <c r="AK5" s="43"/>
    </row>
    <row r="6" spans="1:43" ht="21.95" customHeight="1">
      <c r="A6" s="1"/>
      <c r="B6" s="32"/>
      <c r="C6" s="44" t="s">
        <v>15</v>
      </c>
      <c r="D6" s="45" t="s">
        <v>16</v>
      </c>
      <c r="E6" s="45" t="s">
        <v>15</v>
      </c>
      <c r="F6" s="46" t="s">
        <v>16</v>
      </c>
      <c r="G6" s="44" t="s">
        <v>15</v>
      </c>
      <c r="H6" s="45" t="s">
        <v>16</v>
      </c>
      <c r="I6" s="45" t="s">
        <v>15</v>
      </c>
      <c r="J6" s="47" t="s">
        <v>16</v>
      </c>
      <c r="K6" s="48" t="s">
        <v>15</v>
      </c>
      <c r="L6" s="45" t="s">
        <v>16</v>
      </c>
      <c r="M6" s="45" t="s">
        <v>15</v>
      </c>
      <c r="N6" s="49" t="s">
        <v>16</v>
      </c>
      <c r="O6" s="50" t="s">
        <v>15</v>
      </c>
      <c r="P6" s="47" t="s">
        <v>16</v>
      </c>
      <c r="Q6" s="164" t="s">
        <v>15</v>
      </c>
      <c r="R6" s="45" t="s">
        <v>16</v>
      </c>
      <c r="S6" s="45" t="s">
        <v>15</v>
      </c>
      <c r="T6" s="49" t="s">
        <v>16</v>
      </c>
      <c r="U6" s="53" t="s">
        <v>15</v>
      </c>
      <c r="V6" s="51" t="s">
        <v>16</v>
      </c>
      <c r="W6" s="54" t="s">
        <v>15</v>
      </c>
      <c r="X6" s="47" t="s">
        <v>16</v>
      </c>
      <c r="Y6" s="54" t="s">
        <v>15</v>
      </c>
      <c r="Z6" s="47" t="s">
        <v>16</v>
      </c>
      <c r="AA6" s="54" t="s">
        <v>15</v>
      </c>
      <c r="AB6" s="47" t="s">
        <v>16</v>
      </c>
      <c r="AC6" s="53" t="s">
        <v>15</v>
      </c>
      <c r="AD6" s="55" t="s">
        <v>16</v>
      </c>
      <c r="AG6" s="40"/>
      <c r="AH6" s="41"/>
      <c r="AI6" s="40"/>
      <c r="AJ6" s="42"/>
      <c r="AK6" s="43"/>
    </row>
    <row r="7" spans="1:43" ht="21.95" customHeight="1">
      <c r="A7" s="1"/>
      <c r="B7" s="32"/>
      <c r="C7" s="44" t="s">
        <v>17</v>
      </c>
      <c r="D7" s="45" t="s">
        <v>18</v>
      </c>
      <c r="E7" s="45" t="s">
        <v>17</v>
      </c>
      <c r="F7" s="46" t="s">
        <v>18</v>
      </c>
      <c r="G7" s="44" t="s">
        <v>17</v>
      </c>
      <c r="H7" s="45" t="s">
        <v>18</v>
      </c>
      <c r="I7" s="45" t="s">
        <v>17</v>
      </c>
      <c r="J7" s="47" t="s">
        <v>18</v>
      </c>
      <c r="K7" s="48" t="s">
        <v>17</v>
      </c>
      <c r="L7" s="45" t="s">
        <v>18</v>
      </c>
      <c r="M7" s="45" t="s">
        <v>17</v>
      </c>
      <c r="N7" s="49" t="s">
        <v>18</v>
      </c>
      <c r="O7" s="50" t="s">
        <v>17</v>
      </c>
      <c r="P7" s="47" t="s">
        <v>18</v>
      </c>
      <c r="Q7" s="164" t="s">
        <v>17</v>
      </c>
      <c r="R7" s="45" t="s">
        <v>18</v>
      </c>
      <c r="S7" s="45" t="s">
        <v>17</v>
      </c>
      <c r="T7" s="49" t="s">
        <v>18</v>
      </c>
      <c r="U7" s="53" t="s">
        <v>17</v>
      </c>
      <c r="V7" s="51" t="s">
        <v>18</v>
      </c>
      <c r="W7" s="54" t="s">
        <v>17</v>
      </c>
      <c r="X7" s="47" t="s">
        <v>18</v>
      </c>
      <c r="Y7" s="54" t="s">
        <v>17</v>
      </c>
      <c r="Z7" s="47" t="s">
        <v>18</v>
      </c>
      <c r="AA7" s="54" t="s">
        <v>17</v>
      </c>
      <c r="AB7" s="47" t="s">
        <v>18</v>
      </c>
      <c r="AC7" s="53" t="s">
        <v>17</v>
      </c>
      <c r="AD7" s="55" t="s">
        <v>18</v>
      </c>
      <c r="AG7" s="40"/>
      <c r="AH7" s="41"/>
      <c r="AI7" s="40"/>
      <c r="AJ7" s="42"/>
      <c r="AK7" s="43"/>
    </row>
    <row r="8" spans="1:43" ht="21.95" customHeight="1" thickBot="1">
      <c r="A8" s="1"/>
      <c r="B8" s="56"/>
      <c r="C8" s="57" t="s">
        <v>19</v>
      </c>
      <c r="D8" s="58" t="s">
        <v>20</v>
      </c>
      <c r="E8" s="58" t="s">
        <v>19</v>
      </c>
      <c r="F8" s="59" t="s">
        <v>20</v>
      </c>
      <c r="G8" s="57" t="s">
        <v>19</v>
      </c>
      <c r="H8" s="58" t="s">
        <v>20</v>
      </c>
      <c r="I8" s="58" t="s">
        <v>19</v>
      </c>
      <c r="J8" s="60" t="s">
        <v>20</v>
      </c>
      <c r="K8" s="61" t="s">
        <v>19</v>
      </c>
      <c r="L8" s="58" t="s">
        <v>20</v>
      </c>
      <c r="M8" s="58" t="s">
        <v>19</v>
      </c>
      <c r="N8" s="62" t="s">
        <v>20</v>
      </c>
      <c r="O8" s="63" t="s">
        <v>19</v>
      </c>
      <c r="P8" s="60" t="s">
        <v>20</v>
      </c>
      <c r="Q8" s="165" t="s">
        <v>19</v>
      </c>
      <c r="R8" s="58" t="s">
        <v>20</v>
      </c>
      <c r="S8" s="58" t="s">
        <v>19</v>
      </c>
      <c r="T8" s="62" t="s">
        <v>20</v>
      </c>
      <c r="U8" s="66" t="s">
        <v>19</v>
      </c>
      <c r="V8" s="64" t="s">
        <v>20</v>
      </c>
      <c r="W8" s="67" t="s">
        <v>19</v>
      </c>
      <c r="X8" s="60" t="s">
        <v>20</v>
      </c>
      <c r="Y8" s="67" t="s">
        <v>19</v>
      </c>
      <c r="Z8" s="60" t="s">
        <v>20</v>
      </c>
      <c r="AA8" s="67" t="s">
        <v>19</v>
      </c>
      <c r="AB8" s="60" t="s">
        <v>20</v>
      </c>
      <c r="AC8" s="66" t="s">
        <v>19</v>
      </c>
      <c r="AD8" s="68" t="s">
        <v>20</v>
      </c>
      <c r="AG8" s="40"/>
      <c r="AH8" s="41"/>
      <c r="AI8" s="40"/>
      <c r="AJ8" s="166" t="s">
        <v>49</v>
      </c>
      <c r="AK8" s="166"/>
      <c r="AL8" s="166"/>
      <c r="AM8" s="166"/>
      <c r="AN8" s="167" t="s">
        <v>50</v>
      </c>
      <c r="AO8" s="167"/>
      <c r="AP8" s="167"/>
      <c r="AQ8" s="167"/>
    </row>
    <row r="9" spans="1:43" ht="25.5" customHeight="1" thickTop="1">
      <c r="A9" s="1"/>
      <c r="B9" s="69">
        <v>1</v>
      </c>
      <c r="C9" s="70">
        <f>+[29]NUTS3!$E$101</f>
        <v>962</v>
      </c>
      <c r="D9" s="71">
        <f>+[29]NUTS3!$F$101</f>
        <v>13</v>
      </c>
      <c r="E9" s="71">
        <f>+[29]NUTS3!$J$101</f>
        <v>825</v>
      </c>
      <c r="F9" s="72">
        <f>+[29]NUTS3!$K$101</f>
        <v>29</v>
      </c>
      <c r="G9" s="73">
        <f>+[29]NUTS3!$T$101</f>
        <v>432</v>
      </c>
      <c r="H9" s="71">
        <f>+[29]NUTS3!$U$101</f>
        <v>0</v>
      </c>
      <c r="I9" s="71">
        <f>+[29]NUTS3!$Y$101</f>
        <v>371</v>
      </c>
      <c r="J9" s="74">
        <f>+[29]NUTS3!$Z$101</f>
        <v>15</v>
      </c>
      <c r="K9" s="75">
        <f>+[29]NUTS3!$AI$101</f>
        <v>2108</v>
      </c>
      <c r="L9" s="71">
        <f>+[29]NUTS3!$AJ$101</f>
        <v>115</v>
      </c>
      <c r="M9" s="71">
        <f>+[29]NUTS3!$AN$101</f>
        <v>1994</v>
      </c>
      <c r="N9" s="75">
        <f>+[29]NUTS3!$AO$101</f>
        <v>175</v>
      </c>
      <c r="O9" s="76">
        <f>+[29]NUTS3!$AX$101</f>
        <v>3947</v>
      </c>
      <c r="P9" s="75">
        <f>+[29]NUTS3!$AY$101</f>
        <v>8</v>
      </c>
      <c r="Q9" s="73">
        <f>+[29]NUTS3!$BH$101+[29]NUTS3!$BW$101</f>
        <v>1907</v>
      </c>
      <c r="R9" s="71">
        <f>+[29]NUTS3!$BI$101+[29]NUTS3!$BX$101</f>
        <v>0</v>
      </c>
      <c r="S9" s="71">
        <f>+[29]NUTS3!$BM$101+[29]NUTS3!$CB$101</f>
        <v>1614</v>
      </c>
      <c r="T9" s="77">
        <f>+[29]NUTS3!$BN$101+[29]NUTS3!$CC$101</f>
        <v>54</v>
      </c>
      <c r="U9" s="72">
        <f>+[29]NUTS3!$CL$101</f>
        <v>90</v>
      </c>
      <c r="V9" s="75">
        <f>+[29]NUTS3!$CM$101</f>
        <v>0</v>
      </c>
      <c r="W9" s="76">
        <f>+[29]NUTS3!$CQ$101</f>
        <v>9316</v>
      </c>
      <c r="X9" s="77">
        <f>+[29]NUTS3!$CR$101</f>
        <v>1158</v>
      </c>
      <c r="Y9" s="85">
        <f>+[29]NUTS3!$FS$101</f>
        <v>0</v>
      </c>
      <c r="Z9" s="83">
        <f>+[29]NUTS3!$FT$101</f>
        <v>0</v>
      </c>
      <c r="AA9" s="76">
        <f>+[29]NUTS3!$DP$101</f>
        <v>3</v>
      </c>
      <c r="AB9" s="74">
        <f>+[29]NUTS3!$DQ$101</f>
        <v>0</v>
      </c>
      <c r="AC9" s="168">
        <f>+[29]NUTS3!$DF$101</f>
        <v>66</v>
      </c>
      <c r="AD9" s="169">
        <f>+[29]NUTS3!$DG$101</f>
        <v>1</v>
      </c>
      <c r="AG9" s="40"/>
      <c r="AH9" s="40"/>
      <c r="AI9" s="40"/>
      <c r="AJ9" s="42">
        <v>1907</v>
      </c>
      <c r="AK9" s="42">
        <v>0</v>
      </c>
      <c r="AL9" s="42">
        <v>1614</v>
      </c>
      <c r="AM9" s="42">
        <v>54</v>
      </c>
      <c r="AN9" s="156">
        <f>+Q9-AJ9</f>
        <v>0</v>
      </c>
      <c r="AO9" s="156">
        <f t="shared" ref="AO9:AQ20" si="0">+R9-AK9</f>
        <v>0</v>
      </c>
      <c r="AP9" s="156">
        <f t="shared" si="0"/>
        <v>0</v>
      </c>
      <c r="AQ9" s="156">
        <f t="shared" si="0"/>
        <v>0</v>
      </c>
    </row>
    <row r="10" spans="1:43" ht="25.5" customHeight="1">
      <c r="A10" s="1"/>
      <c r="B10" s="69">
        <v>2</v>
      </c>
      <c r="C10" s="79">
        <f>+[30]NUTS3!$E$101</f>
        <v>1368</v>
      </c>
      <c r="D10" s="80">
        <f>+[30]NUTS3!$F$101</f>
        <v>567</v>
      </c>
      <c r="E10" s="80">
        <f>+[30]NUTS3!$J$101</f>
        <v>760</v>
      </c>
      <c r="F10" s="81">
        <f>+[30]NUTS3!$K$101</f>
        <v>113</v>
      </c>
      <c r="G10" s="82">
        <f>+[30]NUTS3!$T$101</f>
        <v>411</v>
      </c>
      <c r="H10" s="80">
        <f>+[30]NUTS3!$U$101</f>
        <v>3</v>
      </c>
      <c r="I10" s="80">
        <f>+[30]NUTS3!$Y$101</f>
        <v>359</v>
      </c>
      <c r="J10" s="83">
        <f>+[30]NUTS3!$Z$101</f>
        <v>27</v>
      </c>
      <c r="K10" s="84">
        <f>+[30]NUTS3!$AI$101</f>
        <v>1997</v>
      </c>
      <c r="L10" s="80">
        <f>+[30]NUTS3!$AJ$101</f>
        <v>380</v>
      </c>
      <c r="M10" s="80">
        <f>+[30]NUTS3!$AN$101</f>
        <v>1808</v>
      </c>
      <c r="N10" s="84">
        <f>+[30]NUTS3!$AO$101</f>
        <v>343</v>
      </c>
      <c r="O10" s="85">
        <f>+[30]NUTS3!$AX$101</f>
        <v>3809</v>
      </c>
      <c r="P10" s="84">
        <f>+[30]NUTS3!$AY$101</f>
        <v>52</v>
      </c>
      <c r="Q10" s="82">
        <f>+[30]NUTS3!$BH$101+[30]NUTS3!$BW$101</f>
        <v>1881</v>
      </c>
      <c r="R10" s="80">
        <f>+[30]NUTS3!$BI$101+[30]NUTS3!$BX$101</f>
        <v>32</v>
      </c>
      <c r="S10" s="80">
        <f>+[30]NUTS3!$BM$101+[30]NUTS3!$CB$101</f>
        <v>1591</v>
      </c>
      <c r="T10" s="86">
        <f>+[30]NUTS3!$BN$101+[30]NUTS3!$CC$101</f>
        <v>88</v>
      </c>
      <c r="U10" s="81">
        <f>+[30]NUTS3!$CL$101</f>
        <v>92</v>
      </c>
      <c r="V10" s="84">
        <f>+[30]NUTS3!$CM$101</f>
        <v>4</v>
      </c>
      <c r="W10" s="85">
        <f>+[30]NUTS3!$CQ$101</f>
        <v>9439</v>
      </c>
      <c r="X10" s="86">
        <f>+[30]NUTS3!$CR$101</f>
        <v>1393</v>
      </c>
      <c r="Y10" s="85">
        <f>+[30]NUTS3!$FS$101</f>
        <v>32</v>
      </c>
      <c r="Z10" s="83">
        <f>+[30]NUTS3!$FT$101</f>
        <v>32</v>
      </c>
      <c r="AA10" s="85">
        <f>+[30]NUTS3!$DP$101</f>
        <v>2</v>
      </c>
      <c r="AB10" s="83">
        <f>+[30]NUTS3!$DQ$101</f>
        <v>0</v>
      </c>
      <c r="AC10" s="121">
        <f>+[30]NUTS3!$DF$101</f>
        <v>52</v>
      </c>
      <c r="AD10" s="169">
        <f>+[30]NUTS3!$DG$101</f>
        <v>2</v>
      </c>
      <c r="AG10" s="40"/>
      <c r="AH10" s="40"/>
      <c r="AI10" s="40"/>
      <c r="AJ10" s="42">
        <v>1881</v>
      </c>
      <c r="AK10" s="42">
        <v>32</v>
      </c>
      <c r="AL10" s="42">
        <v>1591</v>
      </c>
      <c r="AM10" s="42">
        <v>88</v>
      </c>
      <c r="AN10" s="156">
        <f t="shared" ref="AN10:AN20" si="1">+Q10-AJ10</f>
        <v>0</v>
      </c>
      <c r="AO10" s="156">
        <f t="shared" si="0"/>
        <v>0</v>
      </c>
      <c r="AP10" s="156">
        <f t="shared" si="0"/>
        <v>0</v>
      </c>
      <c r="AQ10" s="156">
        <f t="shared" si="0"/>
        <v>0</v>
      </c>
    </row>
    <row r="11" spans="1:43" ht="25.5" customHeight="1">
      <c r="A11" s="1"/>
      <c r="B11" s="69">
        <v>3</v>
      </c>
      <c r="C11" s="79">
        <f>+[31]NUTS3!$E$101</f>
        <v>2465</v>
      </c>
      <c r="D11" s="80">
        <f>+[31]NUTS3!$F$101</f>
        <v>2023</v>
      </c>
      <c r="E11" s="80">
        <f>+[31]NUTS3!$J$101</f>
        <v>1471</v>
      </c>
      <c r="F11" s="81">
        <f>+[31]NUTS3!$K$101</f>
        <v>1157</v>
      </c>
      <c r="G11" s="82">
        <f>+[31]NUTS3!$T$101</f>
        <v>423</v>
      </c>
      <c r="H11" s="80">
        <f>+[31]NUTS3!$U$101</f>
        <v>50</v>
      </c>
      <c r="I11" s="80">
        <f>+[31]NUTS3!$Y$101</f>
        <v>376</v>
      </c>
      <c r="J11" s="83">
        <f>+[31]NUTS3!$Z$101</f>
        <v>81</v>
      </c>
      <c r="K11" s="84">
        <f>+[31]NUTS3!$AI$101</f>
        <v>2227</v>
      </c>
      <c r="L11" s="80">
        <f>+[31]NUTS3!$AJ$101</f>
        <v>1266</v>
      </c>
      <c r="M11" s="80">
        <f>+[31]NUTS3!$AN$101</f>
        <v>2027</v>
      </c>
      <c r="N11" s="84">
        <f>+[31]NUTS3!$AO$101</f>
        <v>1191</v>
      </c>
      <c r="O11" s="85">
        <f>+[31]NUTS3!$AX$101</f>
        <v>3789</v>
      </c>
      <c r="P11" s="84">
        <f>+[31]NUTS3!$AY$101</f>
        <v>276</v>
      </c>
      <c r="Q11" s="82">
        <f>+[31]NUTS3!$BH$101+[31]NUTS3!$BW$101</f>
        <v>1857</v>
      </c>
      <c r="R11" s="80">
        <f>+[31]NUTS3!$BI$101+[31]NUTS3!$BX$101</f>
        <v>84</v>
      </c>
      <c r="S11" s="80">
        <f>+[31]NUTS3!$BM$101+[31]NUTS3!$CB$101</f>
        <v>1577</v>
      </c>
      <c r="T11" s="86">
        <f>+[31]NUTS3!$BN$101+[31]NUTS3!$CC$101</f>
        <v>158</v>
      </c>
      <c r="U11" s="81">
        <f>+[31]NUTS3!$CL$101</f>
        <v>87</v>
      </c>
      <c r="V11" s="84">
        <f>+[31]NUTS3!$CM$101</f>
        <v>5</v>
      </c>
      <c r="W11" s="85">
        <f>+[31]NUTS3!$CQ$101</f>
        <v>9320</v>
      </c>
      <c r="X11" s="86">
        <f>+[31]NUTS3!$CR$101</f>
        <v>1404</v>
      </c>
      <c r="Y11" s="85">
        <f>+[31]NUTS3!$FS$101</f>
        <v>60</v>
      </c>
      <c r="Z11" s="83">
        <f>+[31]NUTS3!$FT$101</f>
        <v>60</v>
      </c>
      <c r="AA11" s="85">
        <f>+[31]NUTS3!$DP$101</f>
        <v>3</v>
      </c>
      <c r="AB11" s="83">
        <f>+[31]NUTS3!$DQ$101</f>
        <v>1</v>
      </c>
      <c r="AC11" s="121">
        <f>+[31]NUTS3!$DF$101</f>
        <v>48</v>
      </c>
      <c r="AD11" s="169">
        <f>+[31]NUTS3!$DG$101</f>
        <v>8</v>
      </c>
      <c r="AG11" s="40"/>
      <c r="AH11" s="41"/>
      <c r="AI11" s="40"/>
      <c r="AJ11" s="42">
        <v>1857</v>
      </c>
      <c r="AK11" s="42">
        <v>84</v>
      </c>
      <c r="AL11" s="42">
        <v>1577</v>
      </c>
      <c r="AM11" s="42">
        <v>158</v>
      </c>
      <c r="AN11" s="156">
        <f t="shared" si="1"/>
        <v>0</v>
      </c>
      <c r="AO11" s="156">
        <f t="shared" si="0"/>
        <v>0</v>
      </c>
      <c r="AP11" s="156">
        <f t="shared" si="0"/>
        <v>0</v>
      </c>
      <c r="AQ11" s="156">
        <f t="shared" si="0"/>
        <v>0</v>
      </c>
    </row>
    <row r="12" spans="1:43" ht="25.5" customHeight="1">
      <c r="A12" s="1"/>
      <c r="B12" s="69">
        <v>4</v>
      </c>
      <c r="C12" s="79">
        <f>+[32]NUTS3!$E$101</f>
        <v>3127</v>
      </c>
      <c r="D12" s="80">
        <f>+[32]NUTS3!$F$101</f>
        <v>2828</v>
      </c>
      <c r="E12" s="80">
        <f>+[32]NUTS3!$J$101</f>
        <v>2653</v>
      </c>
      <c r="F12" s="81">
        <f>+[32]NUTS3!$K$101</f>
        <v>2478</v>
      </c>
      <c r="G12" s="82">
        <f>+[32]NUTS3!$T$101</f>
        <v>431</v>
      </c>
      <c r="H12" s="80">
        <f>+[32]NUTS3!$U$101</f>
        <v>85</v>
      </c>
      <c r="I12" s="80">
        <f>+[32]NUTS3!$Y$101</f>
        <v>379</v>
      </c>
      <c r="J12" s="83">
        <f>+[32]NUTS3!$Z$101</f>
        <v>114</v>
      </c>
      <c r="K12" s="84">
        <f>+[32]NUTS3!$AI$101</f>
        <v>2845</v>
      </c>
      <c r="L12" s="80">
        <f>+[32]NUTS3!$AJ$101</f>
        <v>2172</v>
      </c>
      <c r="M12" s="80">
        <f>+[32]NUTS3!$AN$101</f>
        <v>2710</v>
      </c>
      <c r="N12" s="84">
        <f>+[32]NUTS3!$AO$101</f>
        <v>2145</v>
      </c>
      <c r="O12" s="85">
        <f>+[32]NUTS3!$AX$101</f>
        <v>3717</v>
      </c>
      <c r="P12" s="84">
        <f>+[32]NUTS3!$AY$101</f>
        <v>514</v>
      </c>
      <c r="Q12" s="82">
        <f>+[32]NUTS3!$BH$101+[32]NUTS3!$BW$101</f>
        <v>1823</v>
      </c>
      <c r="R12" s="80">
        <f>+[32]NUTS3!$BI$101+[32]NUTS3!$BX$101</f>
        <v>146</v>
      </c>
      <c r="S12" s="80">
        <f>+[32]NUTS3!$BM$101+[32]NUTS3!$CB$101</f>
        <v>1527</v>
      </c>
      <c r="T12" s="86">
        <f>+[32]NUTS3!$BN$101+[32]NUTS3!$CC$101</f>
        <v>219</v>
      </c>
      <c r="U12" s="81">
        <f>+[32]NUTS3!$CL$101</f>
        <v>85</v>
      </c>
      <c r="V12" s="84">
        <f>+[32]NUTS3!$CM$101</f>
        <v>7</v>
      </c>
      <c r="W12" s="85">
        <f>+[32]NUTS3!$CQ$101</f>
        <v>9273</v>
      </c>
      <c r="X12" s="86">
        <f>+[32]NUTS3!$CR$101</f>
        <v>1405</v>
      </c>
      <c r="Y12" s="85">
        <f>+[32]NUTS3!$FS$101</f>
        <v>335</v>
      </c>
      <c r="Z12" s="83">
        <f>+[32]NUTS3!$FT$101</f>
        <v>335</v>
      </c>
      <c r="AA12" s="85">
        <f>+[32]NUTS3!$DP$101</f>
        <v>2</v>
      </c>
      <c r="AB12" s="83">
        <f>+[32]NUTS3!$DQ$101</f>
        <v>1</v>
      </c>
      <c r="AC12" s="121">
        <f>+[32]NUTS3!$DF$101</f>
        <v>45</v>
      </c>
      <c r="AD12" s="169">
        <f>+[32]NUTS3!$DG$101</f>
        <v>20</v>
      </c>
      <c r="AG12" s="40"/>
      <c r="AH12" s="40"/>
      <c r="AI12" s="40"/>
      <c r="AJ12" s="42">
        <v>1823</v>
      </c>
      <c r="AK12" s="42">
        <v>146</v>
      </c>
      <c r="AL12" s="42">
        <v>1527</v>
      </c>
      <c r="AM12" s="42">
        <v>219</v>
      </c>
      <c r="AN12" s="156">
        <f t="shared" si="1"/>
        <v>0</v>
      </c>
      <c r="AO12" s="156">
        <f t="shared" si="0"/>
        <v>0</v>
      </c>
      <c r="AP12" s="156">
        <f t="shared" si="0"/>
        <v>0</v>
      </c>
      <c r="AQ12" s="156">
        <f t="shared" si="0"/>
        <v>0</v>
      </c>
    </row>
    <row r="13" spans="1:43" ht="25.5" customHeight="1">
      <c r="A13" s="1"/>
      <c r="B13" s="69">
        <v>5</v>
      </c>
      <c r="C13" s="79">
        <f>+[33]NUTS3!$E$101</f>
        <v>3515</v>
      </c>
      <c r="D13" s="80">
        <f>+[33]NUTS3!$F$101</f>
        <v>3300</v>
      </c>
      <c r="E13" s="80">
        <f>+[33]NUTS3!$J$101</f>
        <v>3221</v>
      </c>
      <c r="F13" s="81">
        <f>+[33]NUTS3!$K$101</f>
        <v>3151</v>
      </c>
      <c r="G13" s="82">
        <f>+[33]NUTS3!$T$101</f>
        <v>432</v>
      </c>
      <c r="H13" s="80">
        <f>+[33]NUTS3!$U$101</f>
        <v>96</v>
      </c>
      <c r="I13" s="80">
        <f>+[33]NUTS3!$Y$101</f>
        <v>390</v>
      </c>
      <c r="J13" s="83">
        <f>+[33]NUTS3!$Z$101</f>
        <v>138</v>
      </c>
      <c r="K13" s="84">
        <f>+[33]NUTS3!$AI$101</f>
        <v>3173</v>
      </c>
      <c r="L13" s="80">
        <f>+[33]NUTS3!$AJ$101</f>
        <v>2820</v>
      </c>
      <c r="M13" s="80">
        <f>+[33]NUTS3!$AN$101</f>
        <v>3095</v>
      </c>
      <c r="N13" s="84">
        <f>+[33]NUTS3!$AO$101</f>
        <v>2833</v>
      </c>
      <c r="O13" s="85">
        <f>+[33]NUTS3!$AX$101</f>
        <v>3609</v>
      </c>
      <c r="P13" s="84">
        <f>+[33]NUTS3!$AY$101</f>
        <v>711</v>
      </c>
      <c r="Q13" s="82">
        <f>+[33]NUTS3!$BH$101+[33]NUTS3!$BW$101</f>
        <v>1771</v>
      </c>
      <c r="R13" s="80">
        <f>+[33]NUTS3!$BI$101+[33]NUTS3!$BX$101</f>
        <v>202</v>
      </c>
      <c r="S13" s="80">
        <f>+[33]NUTS3!$BM$101+[33]NUTS3!$CB$101</f>
        <v>1473</v>
      </c>
      <c r="T13" s="86">
        <f>+[33]NUTS3!$BN$101+[33]NUTS3!$CC$101</f>
        <v>292</v>
      </c>
      <c r="U13" s="81">
        <f>+[33]NUTS3!$CL$101</f>
        <v>80</v>
      </c>
      <c r="V13" s="84">
        <f>+[33]NUTS3!$CM$101</f>
        <v>7</v>
      </c>
      <c r="W13" s="85">
        <f>+[33]NUTS3!$CQ$101</f>
        <v>9273</v>
      </c>
      <c r="X13" s="86">
        <f>+[33]NUTS3!$CR$101</f>
        <v>1409</v>
      </c>
      <c r="Y13" s="85">
        <f>+[33]NUTS3!$FS$101</f>
        <v>1850</v>
      </c>
      <c r="Z13" s="83">
        <f>+[33]NUTS3!$FT$101</f>
        <v>1875</v>
      </c>
      <c r="AA13" s="85">
        <f>+[33]NUTS3!$DP$101</f>
        <v>1</v>
      </c>
      <c r="AB13" s="83">
        <f>+[33]NUTS3!$DQ$101</f>
        <v>1</v>
      </c>
      <c r="AC13" s="121">
        <f>+[33]NUTS3!$DF$101</f>
        <v>48</v>
      </c>
      <c r="AD13" s="169">
        <f>+[33]NUTS3!$DG$101</f>
        <v>37</v>
      </c>
      <c r="AG13" s="128"/>
      <c r="AH13" s="40"/>
      <c r="AI13" s="40"/>
      <c r="AJ13" s="42">
        <v>1771</v>
      </c>
      <c r="AK13" s="42">
        <v>202</v>
      </c>
      <c r="AL13" s="42">
        <v>1473</v>
      </c>
      <c r="AM13" s="42">
        <v>292</v>
      </c>
      <c r="AN13" s="156">
        <f t="shared" si="1"/>
        <v>0</v>
      </c>
      <c r="AO13" s="156">
        <f t="shared" si="0"/>
        <v>0</v>
      </c>
      <c r="AP13" s="156">
        <f t="shared" si="0"/>
        <v>0</v>
      </c>
      <c r="AQ13" s="156">
        <f t="shared" si="0"/>
        <v>0</v>
      </c>
    </row>
    <row r="14" spans="1:43" ht="25.5" customHeight="1">
      <c r="A14" s="1"/>
      <c r="B14" s="69">
        <v>6</v>
      </c>
      <c r="C14" s="79">
        <f>+[34]NUTS3!$E$101</f>
        <v>3488</v>
      </c>
      <c r="D14" s="80">
        <f>+[34]NUTS3!$F$101</f>
        <v>3642</v>
      </c>
      <c r="E14" s="80">
        <f>+[34]NUTS3!$J$101</f>
        <v>3228</v>
      </c>
      <c r="F14" s="81">
        <f>+[34]NUTS3!$K$101</f>
        <v>3561</v>
      </c>
      <c r="G14" s="82">
        <f>+[34]NUTS3!$T$101</f>
        <v>423</v>
      </c>
      <c r="H14" s="80">
        <f>+[34]NUTS3!$U$101</f>
        <v>101</v>
      </c>
      <c r="I14" s="80">
        <f>+[34]NUTS3!$Y$101</f>
        <v>380</v>
      </c>
      <c r="J14" s="83">
        <f>+[34]NUTS3!$Z$101</f>
        <v>143</v>
      </c>
      <c r="K14" s="84">
        <f>+[34]NUTS3!$AI$101</f>
        <v>3570</v>
      </c>
      <c r="L14" s="80">
        <f>+[34]NUTS3!$AJ$101</f>
        <v>3581</v>
      </c>
      <c r="M14" s="80">
        <f>+[34]NUTS3!$AN$101</f>
        <v>3510</v>
      </c>
      <c r="N14" s="84">
        <f>+[34]NUTS3!$AO$101</f>
        <v>3630</v>
      </c>
      <c r="O14" s="85">
        <f>+[34]NUTS3!$AX$101</f>
        <v>3463</v>
      </c>
      <c r="P14" s="84">
        <f>+[34]NUTS3!$AY$101</f>
        <v>905</v>
      </c>
      <c r="Q14" s="82">
        <f>+[34]NUTS3!$BH$101+[34]NUTS3!$BW$101</f>
        <v>1782</v>
      </c>
      <c r="R14" s="80">
        <f>+[34]NUTS3!$BI$101+[34]NUTS3!$BX$101</f>
        <v>284</v>
      </c>
      <c r="S14" s="80">
        <f>+[34]NUTS3!$BM$101+[34]NUTS3!$CB$101</f>
        <v>1482</v>
      </c>
      <c r="T14" s="86">
        <f>+[34]NUTS3!$BN$101+[34]NUTS3!$CC$101</f>
        <v>378</v>
      </c>
      <c r="U14" s="81">
        <f>+[34]NUTS3!$CL$101</f>
        <v>82</v>
      </c>
      <c r="V14" s="84">
        <f>+[34]NUTS3!$CM$101</f>
        <v>10</v>
      </c>
      <c r="W14" s="85">
        <f>+[34]NUTS3!$CQ$101</f>
        <v>9274</v>
      </c>
      <c r="X14" s="86">
        <f>+[34]NUTS3!$CR$101</f>
        <v>1410</v>
      </c>
      <c r="Y14" s="85">
        <f>+[34]NUTS3!$FS$101</f>
        <v>23971</v>
      </c>
      <c r="Z14" s="83">
        <f>+[34]NUTS3!$FT$101</f>
        <v>24008</v>
      </c>
      <c r="AA14" s="85">
        <f>+[34]NUTS3!$DP$101</f>
        <v>2</v>
      </c>
      <c r="AB14" s="83">
        <f>+[34]NUTS3!$DQ$101</f>
        <v>2</v>
      </c>
      <c r="AC14" s="121">
        <f>+[34]NUTS3!$DF$101</f>
        <v>47</v>
      </c>
      <c r="AD14" s="169">
        <f>+[34]NUTS3!$DG$101</f>
        <v>49</v>
      </c>
      <c r="AG14" s="128"/>
      <c r="AI14" s="40"/>
      <c r="AJ14" s="42">
        <v>1782</v>
      </c>
      <c r="AK14" s="42">
        <v>284</v>
      </c>
      <c r="AL14" s="42">
        <v>1482</v>
      </c>
      <c r="AM14" s="42">
        <v>378</v>
      </c>
      <c r="AN14" s="156">
        <f t="shared" si="1"/>
        <v>0</v>
      </c>
      <c r="AO14" s="156">
        <f t="shared" si="0"/>
        <v>0</v>
      </c>
      <c r="AP14" s="156">
        <f t="shared" si="0"/>
        <v>0</v>
      </c>
      <c r="AQ14" s="156">
        <f t="shared" si="0"/>
        <v>0</v>
      </c>
    </row>
    <row r="15" spans="1:43" ht="25.5" customHeight="1">
      <c r="A15" s="1"/>
      <c r="B15" s="69">
        <v>7</v>
      </c>
      <c r="C15" s="79">
        <f>+[35]NUTS3!$E$101</f>
        <v>3731</v>
      </c>
      <c r="D15" s="80">
        <f>+[35]NUTS3!$F$101</f>
        <v>3992</v>
      </c>
      <c r="E15" s="80">
        <f>+[35]NUTS3!$J$101</f>
        <v>3497</v>
      </c>
      <c r="F15" s="81">
        <f>+[35]NUTS3!$K$101</f>
        <v>3956</v>
      </c>
      <c r="G15" s="82">
        <f>+[35]NUTS3!$T$101</f>
        <v>401</v>
      </c>
      <c r="H15" s="80">
        <f>+[35]NUTS3!$U$101</f>
        <v>101</v>
      </c>
      <c r="I15" s="80">
        <f>+[35]NUTS3!$Y$101</f>
        <v>358</v>
      </c>
      <c r="J15" s="83">
        <f>+[35]NUTS3!$Z$101</f>
        <v>149</v>
      </c>
      <c r="K15" s="84">
        <f>+[35]NUTS3!$AI$101</f>
        <v>3519</v>
      </c>
      <c r="L15" s="80">
        <f>+[35]NUTS3!$AJ$101</f>
        <v>3998</v>
      </c>
      <c r="M15" s="80">
        <f>+[35]NUTS3!$AN$101</f>
        <v>3490</v>
      </c>
      <c r="N15" s="84">
        <f>+[35]NUTS3!$AO$101</f>
        <v>4047</v>
      </c>
      <c r="O15" s="85">
        <f>+[35]NUTS3!$AX$101</f>
        <v>3308</v>
      </c>
      <c r="P15" s="84">
        <f>+[35]NUTS3!$AY$101</f>
        <v>1055</v>
      </c>
      <c r="Q15" s="82">
        <f>+[35]NUTS3!$BH$101+[35]NUTS3!$BW$101</f>
        <v>1750</v>
      </c>
      <c r="R15" s="80">
        <f>+[35]NUTS3!$BI$101+[35]NUTS3!$BX$101</f>
        <v>346</v>
      </c>
      <c r="S15" s="80">
        <f>+[35]NUTS3!$BM$101+[35]NUTS3!$CB$101</f>
        <v>1457</v>
      </c>
      <c r="T15" s="86">
        <f>+[35]NUTS3!$BN$101+[35]NUTS3!$CC$101</f>
        <v>446</v>
      </c>
      <c r="U15" s="81">
        <f>+[35]NUTS3!$CL$101</f>
        <v>81</v>
      </c>
      <c r="V15" s="84">
        <f>+[35]NUTS3!$CM$101</f>
        <v>12</v>
      </c>
      <c r="W15" s="85">
        <f>+[35]NUTS3!$CQ$101</f>
        <v>565</v>
      </c>
      <c r="X15" s="86">
        <f>+[35]NUTS3!$CR$101</f>
        <v>1491</v>
      </c>
      <c r="Y15" s="85">
        <f>+[35]NUTS3!$FS$101</f>
        <v>25725</v>
      </c>
      <c r="Z15" s="83">
        <f>+[35]NUTS3!$FT$101</f>
        <v>25772</v>
      </c>
      <c r="AA15" s="85">
        <f>+[35]NUTS3!$DP$101</f>
        <v>2</v>
      </c>
      <c r="AB15" s="83">
        <f>+[35]NUTS3!$DQ$101</f>
        <v>2</v>
      </c>
      <c r="AC15" s="121">
        <f>+[35]NUTS3!$DF$101</f>
        <v>61</v>
      </c>
      <c r="AD15" s="169">
        <f>+[35]NUTS3!$DG$101</f>
        <v>64</v>
      </c>
      <c r="AI15" s="88"/>
      <c r="AJ15" s="42">
        <v>1750</v>
      </c>
      <c r="AK15" s="42">
        <v>346</v>
      </c>
      <c r="AL15" s="42">
        <v>1457</v>
      </c>
      <c r="AM15" s="42">
        <v>446</v>
      </c>
      <c r="AN15" s="156">
        <f t="shared" si="1"/>
        <v>0</v>
      </c>
      <c r="AO15" s="156">
        <f t="shared" si="0"/>
        <v>0</v>
      </c>
      <c r="AP15" s="156">
        <f t="shared" si="0"/>
        <v>0</v>
      </c>
      <c r="AQ15" s="156">
        <f t="shared" si="0"/>
        <v>0</v>
      </c>
    </row>
    <row r="16" spans="1:43" ht="25.5" customHeight="1">
      <c r="A16" s="1"/>
      <c r="B16" s="69">
        <v>8</v>
      </c>
      <c r="C16" s="79">
        <f>+[36]NUTS3!$E$101</f>
        <v>4037</v>
      </c>
      <c r="D16" s="80">
        <f>+[36]NUTS3!$F$101</f>
        <v>4348</v>
      </c>
      <c r="E16" s="80">
        <f>+[36]NUTS3!$J$101</f>
        <v>3730</v>
      </c>
      <c r="F16" s="81">
        <f>+[36]NUTS3!$K$101</f>
        <v>4273</v>
      </c>
      <c r="G16" s="82">
        <f>+[36]NUTS3!$T$101</f>
        <v>392</v>
      </c>
      <c r="H16" s="80">
        <f>+[36]NUTS3!$U$101</f>
        <v>105</v>
      </c>
      <c r="I16" s="80">
        <f>+[36]NUTS3!$Y$101</f>
        <v>348</v>
      </c>
      <c r="J16" s="83">
        <f>+[36]NUTS3!$Z$101</f>
        <v>152</v>
      </c>
      <c r="K16" s="84">
        <f>+[36]NUTS3!$AI$101</f>
        <v>3565</v>
      </c>
      <c r="L16" s="80">
        <f>+[36]NUTS3!$AJ$101</f>
        <v>4394</v>
      </c>
      <c r="M16" s="80">
        <f>+[36]NUTS3!$AN$101</f>
        <v>3551</v>
      </c>
      <c r="N16" s="84">
        <f>+[36]NUTS3!$AO$101</f>
        <v>4440</v>
      </c>
      <c r="O16" s="85">
        <f>+[36]NUTS3!$AX$101</f>
        <v>3174</v>
      </c>
      <c r="P16" s="84">
        <f>+[36]NUTS3!$AY$101</f>
        <v>1184</v>
      </c>
      <c r="Q16" s="82">
        <f>+[36]NUTS3!$BH$101+[36]NUTS3!$BW$101</f>
        <v>1657</v>
      </c>
      <c r="R16" s="80">
        <f>+[36]NUTS3!$BI$101+[36]NUTS3!$BX$101</f>
        <v>413</v>
      </c>
      <c r="S16" s="80">
        <f>+[36]NUTS3!$BM$101+[36]NUTS3!$CB$101</f>
        <v>1420</v>
      </c>
      <c r="T16" s="86">
        <f>+[36]NUTS3!$BN$101+[36]NUTS3!$CC$101</f>
        <v>566</v>
      </c>
      <c r="U16" s="81">
        <f>+[36]NUTS3!$CL$101</f>
        <v>78</v>
      </c>
      <c r="V16" s="84">
        <f>+[36]NUTS3!$CM$101</f>
        <v>14</v>
      </c>
      <c r="W16" s="85">
        <f>+[36]NUTS3!$CQ$101</f>
        <v>354</v>
      </c>
      <c r="X16" s="86">
        <f>+[36]NUTS3!$CR$101</f>
        <v>1495</v>
      </c>
      <c r="Y16" s="85">
        <f>+[36]NUTS3!$FS$101</f>
        <v>27340</v>
      </c>
      <c r="Z16" s="83">
        <f>+[36]NUTS3!$FT$101</f>
        <v>27392</v>
      </c>
      <c r="AA16" s="85">
        <f>+[36]NUTS3!$DP$101</f>
        <v>3</v>
      </c>
      <c r="AB16" s="83">
        <f>+[36]NUTS3!$DQ$101</f>
        <v>3</v>
      </c>
      <c r="AC16" s="121">
        <f>+[36]NUTS3!$DF$101</f>
        <v>64</v>
      </c>
      <c r="AD16" s="169">
        <f>+[36]NUTS3!$DG$101</f>
        <v>77</v>
      </c>
      <c r="AI16" s="88"/>
      <c r="AJ16" s="42">
        <v>1657</v>
      </c>
      <c r="AK16" s="42">
        <v>413</v>
      </c>
      <c r="AL16" s="42">
        <v>1420</v>
      </c>
      <c r="AM16" s="42">
        <v>566</v>
      </c>
      <c r="AN16" s="156">
        <f t="shared" si="1"/>
        <v>0</v>
      </c>
      <c r="AO16" s="156">
        <f t="shared" si="0"/>
        <v>0</v>
      </c>
      <c r="AP16" s="156">
        <f t="shared" si="0"/>
        <v>0</v>
      </c>
      <c r="AQ16" s="156">
        <f t="shared" si="0"/>
        <v>0</v>
      </c>
    </row>
    <row r="17" spans="1:43" ht="25.5" customHeight="1">
      <c r="A17" s="1"/>
      <c r="B17" s="69">
        <v>9</v>
      </c>
      <c r="C17" s="79">
        <f>+[37]NUTS3!$E$101</f>
        <v>4255</v>
      </c>
      <c r="D17" s="80">
        <f>+[37]NUTS3!$F$101</f>
        <v>4769</v>
      </c>
      <c r="E17" s="80">
        <f>+[37]NUTS3!$J$101</f>
        <v>3988</v>
      </c>
      <c r="F17" s="81">
        <f>+[37]NUTS3!$K$101</f>
        <v>4765</v>
      </c>
      <c r="G17" s="82">
        <f>+[37]NUTS3!$T$101</f>
        <v>390</v>
      </c>
      <c r="H17" s="80">
        <f>+[37]NUTS3!$U$101</f>
        <v>111</v>
      </c>
      <c r="I17" s="80">
        <f>+[37]NUTS3!$Y$101</f>
        <v>345</v>
      </c>
      <c r="J17" s="83">
        <f>+[37]NUTS3!$Z$101</f>
        <v>157</v>
      </c>
      <c r="K17" s="84">
        <f>+[37]NUTS3!$AI$101</f>
        <v>3411</v>
      </c>
      <c r="L17" s="80">
        <f>+[37]NUTS3!$AJ$101</f>
        <v>4792</v>
      </c>
      <c r="M17" s="80">
        <f>+[37]NUTS3!$AN$101</f>
        <v>3411</v>
      </c>
      <c r="N17" s="84">
        <f>+[37]NUTS3!$AO$101</f>
        <v>4852</v>
      </c>
      <c r="O17" s="85">
        <f>+[37]NUTS3!$AX$101</f>
        <v>3043</v>
      </c>
      <c r="P17" s="84">
        <f>+[37]NUTS3!$AY$101</f>
        <v>1332</v>
      </c>
      <c r="Q17" s="82">
        <f>+[37]NUTS3!$BH$101+[37]NUTS3!$BW$101</f>
        <v>1615</v>
      </c>
      <c r="R17" s="80">
        <f>+[37]NUTS3!$BI$101+[37]NUTS3!$BX$101</f>
        <v>455</v>
      </c>
      <c r="S17" s="80">
        <f>+[37]NUTS3!$BM$101+[37]NUTS3!$CB$101</f>
        <v>1397</v>
      </c>
      <c r="T17" s="86">
        <f>+[37]NUTS3!$BN$101+[37]NUTS3!$CC$101</f>
        <v>638</v>
      </c>
      <c r="U17" s="81">
        <f>+[37]NUTS3!$CL$101</f>
        <v>73</v>
      </c>
      <c r="V17" s="84">
        <f>+[37]NUTS3!$CM$101</f>
        <v>17</v>
      </c>
      <c r="W17" s="85">
        <f>+[37]NUTS3!$CQ$101</f>
        <v>222</v>
      </c>
      <c r="X17" s="86">
        <f>+[37]NUTS3!$CR$101</f>
        <v>1503</v>
      </c>
      <c r="Y17" s="85">
        <f>+[37]NUTS3!$FS$101</f>
        <v>28004</v>
      </c>
      <c r="Z17" s="83">
        <f>+[37]NUTS3!$FT$101</f>
        <v>28061</v>
      </c>
      <c r="AA17" s="85">
        <f>+[37]NUTS3!$DP$101</f>
        <v>3</v>
      </c>
      <c r="AB17" s="83">
        <f>+[37]NUTS3!$DQ$101</f>
        <v>3</v>
      </c>
      <c r="AC17" s="121">
        <f>+[37]NUTS3!$DF$101</f>
        <v>66</v>
      </c>
      <c r="AD17" s="169">
        <f>+[37]NUTS3!$DG$101</f>
        <v>85</v>
      </c>
      <c r="AI17" s="16"/>
      <c r="AJ17" s="42">
        <v>1615</v>
      </c>
      <c r="AK17" s="42">
        <v>455</v>
      </c>
      <c r="AL17" s="42">
        <v>1397</v>
      </c>
      <c r="AM17" s="42">
        <v>638</v>
      </c>
      <c r="AN17" s="156">
        <f t="shared" si="1"/>
        <v>0</v>
      </c>
      <c r="AO17" s="156">
        <f t="shared" si="0"/>
        <v>0</v>
      </c>
      <c r="AP17" s="156">
        <f t="shared" si="0"/>
        <v>0</v>
      </c>
      <c r="AQ17" s="156">
        <f t="shared" si="0"/>
        <v>0</v>
      </c>
    </row>
    <row r="18" spans="1:43" ht="25.5" customHeight="1">
      <c r="A18" s="1"/>
      <c r="B18" s="69">
        <v>10</v>
      </c>
      <c r="C18" s="79">
        <f>+[38]NUTS3!$E$101</f>
        <v>4208</v>
      </c>
      <c r="D18" s="80">
        <f>+[38]NUTS3!$F$101</f>
        <v>5013</v>
      </c>
      <c r="E18" s="80">
        <f>+[38]NUTS3!$J$101</f>
        <v>3950</v>
      </c>
      <c r="F18" s="81">
        <f>+[38]NUTS3!$K$101</f>
        <v>5048</v>
      </c>
      <c r="G18" s="82">
        <f>+[38]NUTS3!$T$101</f>
        <v>379</v>
      </c>
      <c r="H18" s="80">
        <f>+[38]NUTS3!$U$101</f>
        <v>124</v>
      </c>
      <c r="I18" s="80">
        <f>+[38]NUTS3!$Y$101</f>
        <v>329</v>
      </c>
      <c r="J18" s="83">
        <f>+[38]NUTS3!$Z$101</f>
        <v>164</v>
      </c>
      <c r="K18" s="84">
        <f>+[38]NUTS3!$AI$101</f>
        <v>2932</v>
      </c>
      <c r="L18" s="80">
        <f>+[38]NUTS3!$AJ$101</f>
        <v>5225</v>
      </c>
      <c r="M18" s="80">
        <f>+[38]NUTS3!$AN$101</f>
        <v>2934</v>
      </c>
      <c r="N18" s="84">
        <f>+[38]NUTS3!$AO$101</f>
        <v>5286</v>
      </c>
      <c r="O18" s="85">
        <f>+[38]NUTS3!$AX$101</f>
        <v>2965</v>
      </c>
      <c r="P18" s="84">
        <f>+[38]NUTS3!$AY$101</f>
        <v>1521</v>
      </c>
      <c r="Q18" s="82">
        <f>+[38]NUTS3!$BH$101+[38]NUTS3!$BW$101</f>
        <v>1608</v>
      </c>
      <c r="R18" s="80">
        <f>+[38]NUTS3!$BI$101+[38]NUTS3!$BX$101</f>
        <v>508</v>
      </c>
      <c r="S18" s="80">
        <f>+[38]NUTS3!$BM$101+[38]NUTS3!$CB$101</f>
        <v>1355</v>
      </c>
      <c r="T18" s="86">
        <f>+[38]NUTS3!$BN$101+[38]NUTS3!$CC$101</f>
        <v>667</v>
      </c>
      <c r="U18" s="81">
        <f>+[38]NUTS3!$CL$101</f>
        <v>69</v>
      </c>
      <c r="V18" s="84">
        <f>+[38]NUTS3!$CM$101</f>
        <v>17</v>
      </c>
      <c r="W18" s="85">
        <f>+[38]NUTS3!$CQ$101</f>
        <v>222</v>
      </c>
      <c r="X18" s="86">
        <f>+[38]NUTS3!$CR$101</f>
        <v>1504</v>
      </c>
      <c r="Y18" s="85">
        <f>+[38]NUTS3!$FS$101</f>
        <v>28904</v>
      </c>
      <c r="Z18" s="83">
        <f>+[38]NUTS3!$FT$101</f>
        <v>28964</v>
      </c>
      <c r="AA18" s="85">
        <f>+[38]NUTS3!$DP$101</f>
        <v>2</v>
      </c>
      <c r="AB18" s="83">
        <f>+[38]NUTS3!$DQ$101</f>
        <v>3</v>
      </c>
      <c r="AC18" s="121">
        <f>+[38]NUTS3!$DF$101</f>
        <v>69</v>
      </c>
      <c r="AD18" s="169">
        <f>+[38]NUTS3!$DG$101</f>
        <v>102</v>
      </c>
      <c r="AI18" s="93"/>
      <c r="AJ18" s="42">
        <v>1608</v>
      </c>
      <c r="AK18" s="42">
        <v>508</v>
      </c>
      <c r="AL18" s="42">
        <v>1355</v>
      </c>
      <c r="AM18" s="42">
        <v>667</v>
      </c>
      <c r="AN18" s="156">
        <f t="shared" si="1"/>
        <v>0</v>
      </c>
      <c r="AO18" s="156">
        <f t="shared" si="0"/>
        <v>0</v>
      </c>
      <c r="AP18" s="156">
        <f t="shared" si="0"/>
        <v>0</v>
      </c>
      <c r="AQ18" s="156">
        <f t="shared" si="0"/>
        <v>0</v>
      </c>
    </row>
    <row r="19" spans="1:43" ht="25.5" customHeight="1">
      <c r="A19" s="1"/>
      <c r="B19" s="69">
        <v>11</v>
      </c>
      <c r="C19" s="79">
        <f>+[39]NUTS3!$E$101</f>
        <v>3836</v>
      </c>
      <c r="D19" s="80">
        <f>+[39]NUTS3!$F$101</f>
        <v>5121</v>
      </c>
      <c r="E19" s="80">
        <f>+[39]NUTS3!$J$101</f>
        <v>3585</v>
      </c>
      <c r="F19" s="81">
        <f>+[39]NUTS3!$K$101</f>
        <v>5204</v>
      </c>
      <c r="G19" s="82">
        <f>+[39]NUTS3!$T$101</f>
        <v>374</v>
      </c>
      <c r="H19" s="80">
        <f>+[39]NUTS3!$U$101</f>
        <v>139</v>
      </c>
      <c r="I19" s="80">
        <f>+[39]NUTS3!$Y$101</f>
        <v>317</v>
      </c>
      <c r="J19" s="83">
        <f>+[39]NUTS3!$Z$101</f>
        <v>170</v>
      </c>
      <c r="K19" s="84">
        <f>+[39]NUTS3!$AI$101</f>
        <v>2821</v>
      </c>
      <c r="L19" s="80">
        <f>+[39]NUTS3!$AJ$101</f>
        <v>5592</v>
      </c>
      <c r="M19" s="80">
        <f>+[39]NUTS3!$AN$101</f>
        <v>2826</v>
      </c>
      <c r="N19" s="84">
        <f>+[39]NUTS3!$AO$101</f>
        <v>5658</v>
      </c>
      <c r="O19" s="85">
        <f>+[39]NUTS3!$AX$101</f>
        <v>2900</v>
      </c>
      <c r="P19" s="84">
        <f>+[39]NUTS3!$AY$101</f>
        <v>1719</v>
      </c>
      <c r="Q19" s="82">
        <f>+[39]NUTS3!$BH$101+[39]NUTS3!$BW$101</f>
        <v>1564</v>
      </c>
      <c r="R19" s="80">
        <f>+[39]NUTS3!$BI$101+[39]NUTS3!$BX$101</f>
        <v>567</v>
      </c>
      <c r="S19" s="80">
        <f>+[39]NUTS3!$BM$101+[39]NUTS3!$CB$101</f>
        <v>1301</v>
      </c>
      <c r="T19" s="86">
        <f>+[39]NUTS3!$BN$101+[39]NUTS3!$CC$101</f>
        <v>719</v>
      </c>
      <c r="U19" s="81">
        <f>+[39]NUTS3!$CL$101</f>
        <v>65</v>
      </c>
      <c r="V19" s="84">
        <f>+[39]NUTS3!$CM$101</f>
        <v>21</v>
      </c>
      <c r="W19" s="85">
        <f>+[39]NUTS3!$CQ$101</f>
        <v>228</v>
      </c>
      <c r="X19" s="86">
        <f>+[39]NUTS3!$CR$101</f>
        <v>1512</v>
      </c>
      <c r="Y19" s="85">
        <f>+[39]NUTS3!$FS$101</f>
        <v>29852</v>
      </c>
      <c r="Z19" s="83">
        <f>+[39]NUTS3!$FT$101</f>
        <v>29944</v>
      </c>
      <c r="AA19" s="85">
        <f>+[39]NUTS3!$DP$101</f>
        <v>11</v>
      </c>
      <c r="AB19" s="83">
        <f>+[39]NUTS3!$DQ$101</f>
        <v>12</v>
      </c>
      <c r="AC19" s="121">
        <f>+[39]NUTS3!$DF$101</f>
        <v>68</v>
      </c>
      <c r="AD19" s="169">
        <f>+[39]NUTS3!$DG$101</f>
        <v>116</v>
      </c>
      <c r="AH19" s="94"/>
      <c r="AI19" s="93"/>
      <c r="AJ19" s="42">
        <v>1564</v>
      </c>
      <c r="AK19" s="42">
        <v>567</v>
      </c>
      <c r="AL19" s="42">
        <v>1301</v>
      </c>
      <c r="AM19" s="42">
        <v>719</v>
      </c>
      <c r="AN19" s="156">
        <f t="shared" si="1"/>
        <v>0</v>
      </c>
      <c r="AO19" s="156">
        <f t="shared" si="0"/>
        <v>0</v>
      </c>
      <c r="AP19" s="156">
        <f t="shared" si="0"/>
        <v>0</v>
      </c>
      <c r="AQ19" s="156">
        <f t="shared" si="0"/>
        <v>0</v>
      </c>
    </row>
    <row r="20" spans="1:43" s="31" customFormat="1" ht="25.5" customHeight="1" thickBot="1">
      <c r="A20" s="1"/>
      <c r="B20" s="95">
        <v>12</v>
      </c>
      <c r="C20" s="170">
        <f>+[40]NUTS3!$E$101</f>
        <v>2911</v>
      </c>
      <c r="D20" s="171">
        <f>+[40]NUTS3!$F$101</f>
        <v>5166</v>
      </c>
      <c r="E20" s="171">
        <f>+[40]NUTS3!$J$101</f>
        <v>2742</v>
      </c>
      <c r="F20" s="172">
        <f>+[40]NUTS3!$K$101</f>
        <v>5279</v>
      </c>
      <c r="G20" s="173">
        <f>+[40]NUTS3!$T$101</f>
        <v>357</v>
      </c>
      <c r="H20" s="171">
        <f>+[40]NUTS3!$U$101</f>
        <v>157</v>
      </c>
      <c r="I20" s="171">
        <f>+[40]NUTS3!$Y$101</f>
        <v>300</v>
      </c>
      <c r="J20" s="174">
        <f>+[40]NUTS3!$Z$101</f>
        <v>186</v>
      </c>
      <c r="K20" s="175">
        <f>+[40]NUTS3!$AI$101</f>
        <v>2666</v>
      </c>
      <c r="L20" s="171">
        <f>+[40]NUTS3!$AJ$101</f>
        <v>5837</v>
      </c>
      <c r="M20" s="171">
        <f>+[40]NUTS3!$AN$101</f>
        <v>2641</v>
      </c>
      <c r="N20" s="175">
        <f>+[40]NUTS3!$AO$101</f>
        <v>5872</v>
      </c>
      <c r="O20" s="176">
        <f>+[40]NUTS3!$AX$101</f>
        <v>2821</v>
      </c>
      <c r="P20" s="175">
        <f>+[40]NUTS3!$AY$101</f>
        <v>1875</v>
      </c>
      <c r="Q20" s="99">
        <f>+[40]NUTS3!$BH$101+[40]NUTS3!$BW$101</f>
        <v>1484</v>
      </c>
      <c r="R20" s="97">
        <f>+[40]NUTS3!$BI$101+[40]NUTS3!$BX$101</f>
        <v>620</v>
      </c>
      <c r="S20" s="97">
        <f>+[40]NUTS3!$BM$101+[40]NUTS3!$CB$101</f>
        <v>1284</v>
      </c>
      <c r="T20" s="103">
        <f>+[40]NUTS3!$BN$101+[40]NUTS3!$CC$101</f>
        <v>793</v>
      </c>
      <c r="U20" s="172">
        <f>+[40]NUTS3!$CL$101</f>
        <v>67</v>
      </c>
      <c r="V20" s="175">
        <f>+[40]NUTS3!$CM$101</f>
        <v>24</v>
      </c>
      <c r="W20" s="176">
        <f>+[40]NUTS3!$CQ$101</f>
        <v>229</v>
      </c>
      <c r="X20" s="174">
        <f>+[40]NUTS3!$CR$101</f>
        <v>1514</v>
      </c>
      <c r="Y20" s="102">
        <f>+[40]NUTS3!$FS$101</f>
        <v>30299</v>
      </c>
      <c r="Z20" s="100">
        <f>+[40]NUTS3!$FT$101</f>
        <v>30466</v>
      </c>
      <c r="AA20" s="102">
        <f>+[40]NUTS3!$DP$101</f>
        <v>11</v>
      </c>
      <c r="AB20" s="100">
        <f>+[40]NUTS3!$DQ$101</f>
        <v>13</v>
      </c>
      <c r="AC20" s="177">
        <f>+[40]NUTS3!$DF$101</f>
        <v>64</v>
      </c>
      <c r="AD20" s="178">
        <f>+[40]NUTS3!$DG$101</f>
        <v>130</v>
      </c>
      <c r="AG20" s="40"/>
      <c r="AH20" s="93"/>
      <c r="AI20" s="93"/>
      <c r="AJ20" s="42">
        <v>1484</v>
      </c>
      <c r="AK20" s="42">
        <v>620</v>
      </c>
      <c r="AL20" s="42">
        <v>1284</v>
      </c>
      <c r="AM20" s="42">
        <v>793</v>
      </c>
      <c r="AN20" s="156">
        <f t="shared" si="1"/>
        <v>0</v>
      </c>
      <c r="AO20" s="156">
        <f t="shared" si="0"/>
        <v>0</v>
      </c>
      <c r="AP20" s="156">
        <f t="shared" si="0"/>
        <v>0</v>
      </c>
      <c r="AQ20" s="156">
        <f t="shared" si="0"/>
        <v>0</v>
      </c>
    </row>
    <row r="21" spans="1:43" ht="25.5" customHeight="1" thickTop="1">
      <c r="A21" s="1"/>
      <c r="B21" s="105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106"/>
      <c r="AF21" s="106"/>
      <c r="AH21" s="93"/>
      <c r="AI21" s="93"/>
      <c r="AJ21" s="93"/>
      <c r="AK21" s="11"/>
      <c r="AL21" s="11"/>
    </row>
    <row r="22" spans="1:43" ht="25.5" customHeight="1">
      <c r="A22" s="1"/>
      <c r="B22" s="105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107"/>
      <c r="S22" s="107"/>
      <c r="T22" s="107"/>
      <c r="U22" s="107"/>
      <c r="V22" s="107"/>
      <c r="W22" s="107"/>
      <c r="X22" s="107"/>
      <c r="Y22" s="107"/>
      <c r="Z22" s="84"/>
      <c r="AA22" s="84"/>
      <c r="AB22" s="84"/>
      <c r="AC22" s="84"/>
      <c r="AD22" s="106"/>
      <c r="AE22" s="106"/>
      <c r="AF22" s="106"/>
      <c r="AH22" s="93"/>
      <c r="AI22" s="108"/>
      <c r="AJ22" s="108"/>
    </row>
    <row r="23" spans="1:43" ht="25.5" customHeight="1" thickBot="1">
      <c r="A23" s="1"/>
      <c r="B23" s="109"/>
      <c r="C23" s="101"/>
      <c r="D23" s="101"/>
      <c r="E23" s="101"/>
      <c r="F23" s="101"/>
      <c r="G23" s="101"/>
      <c r="H23" s="101"/>
      <c r="I23" s="179" t="s">
        <v>51</v>
      </c>
      <c r="J23" s="179"/>
      <c r="M23" s="84"/>
      <c r="N23" s="84"/>
      <c r="O23" s="84"/>
      <c r="P23" s="84"/>
      <c r="Q23" s="84"/>
      <c r="R23" s="110"/>
      <c r="S23" s="111"/>
      <c r="T23" s="112"/>
      <c r="U23" s="112"/>
      <c r="V23" s="112"/>
      <c r="W23" s="112"/>
      <c r="X23" s="112"/>
      <c r="Y23" s="112"/>
      <c r="Z23" s="84"/>
      <c r="AA23" s="84"/>
      <c r="AB23" s="84"/>
      <c r="AC23" s="84"/>
      <c r="AD23" s="106"/>
      <c r="AE23" s="106"/>
      <c r="AF23" s="106"/>
      <c r="AH23" s="93"/>
    </row>
    <row r="24" spans="1:43" ht="58.5" customHeight="1" thickTop="1">
      <c r="A24" s="1"/>
      <c r="B24" s="18" t="s">
        <v>1</v>
      </c>
      <c r="C24" s="21" t="s">
        <v>22</v>
      </c>
      <c r="D24" s="113"/>
      <c r="E24" s="21" t="s">
        <v>23</v>
      </c>
      <c r="F24" s="20"/>
      <c r="G24" s="19" t="s">
        <v>24</v>
      </c>
      <c r="H24" s="20"/>
      <c r="I24" s="21" t="s">
        <v>52</v>
      </c>
      <c r="J24" s="20"/>
      <c r="K24" s="19" t="s">
        <v>53</v>
      </c>
      <c r="L24" s="25"/>
      <c r="O24" s="114"/>
      <c r="P24" s="114"/>
      <c r="Q24" s="114"/>
      <c r="R24" s="114"/>
      <c r="U24" s="111"/>
      <c r="V24" s="111"/>
      <c r="W24" s="111"/>
      <c r="X24" s="111"/>
      <c r="Y24" s="115"/>
      <c r="Z24" s="84"/>
      <c r="AA24" s="84"/>
      <c r="AB24" s="84"/>
      <c r="AC24" s="84"/>
      <c r="AD24" s="106"/>
      <c r="AE24" s="106"/>
      <c r="AF24" s="116"/>
    </row>
    <row r="25" spans="1:43" ht="25.5" customHeight="1" thickBot="1">
      <c r="A25" s="1"/>
      <c r="B25" s="32"/>
      <c r="C25" s="37" t="s">
        <v>13</v>
      </c>
      <c r="D25" s="36"/>
      <c r="E25" s="37" t="s">
        <v>13</v>
      </c>
      <c r="F25" s="36"/>
      <c r="G25" s="38" t="s">
        <v>13</v>
      </c>
      <c r="H25" s="36"/>
      <c r="I25" s="37" t="s">
        <v>26</v>
      </c>
      <c r="J25" s="36"/>
      <c r="K25" s="38" t="s">
        <v>26</v>
      </c>
      <c r="L25" s="39"/>
      <c r="O25" s="117"/>
      <c r="P25" s="117"/>
      <c r="Q25" s="117"/>
      <c r="R25" s="117"/>
      <c r="U25" s="111"/>
      <c r="V25" s="111"/>
      <c r="W25" s="111"/>
      <c r="X25" s="111"/>
      <c r="Y25" s="115"/>
      <c r="Z25" s="84"/>
      <c r="AA25" s="84"/>
      <c r="AB25" s="84"/>
      <c r="AC25" s="84"/>
      <c r="AD25" s="106"/>
      <c r="AE25" s="106"/>
      <c r="AF25" s="106"/>
      <c r="AH25" s="118" t="s">
        <v>27</v>
      </c>
    </row>
    <row r="26" spans="1:43" ht="25.5" customHeight="1">
      <c r="A26" s="1"/>
      <c r="B26" s="32"/>
      <c r="C26" s="45" t="s">
        <v>15</v>
      </c>
      <c r="D26" s="47" t="s">
        <v>16</v>
      </c>
      <c r="E26" s="52" t="s">
        <v>15</v>
      </c>
      <c r="F26" s="47" t="s">
        <v>16</v>
      </c>
      <c r="G26" s="44" t="s">
        <v>15</v>
      </c>
      <c r="H26" s="47" t="s">
        <v>16</v>
      </c>
      <c r="I26" s="54" t="s">
        <v>15</v>
      </c>
      <c r="J26" s="47" t="s">
        <v>16</v>
      </c>
      <c r="K26" s="53" t="s">
        <v>15</v>
      </c>
      <c r="L26" s="55" t="s">
        <v>16</v>
      </c>
      <c r="O26" s="111"/>
      <c r="P26" s="110"/>
      <c r="Q26" s="110"/>
      <c r="R26" s="110"/>
      <c r="U26" s="111"/>
      <c r="V26" s="111"/>
      <c r="W26" s="111"/>
      <c r="X26" s="111"/>
      <c r="Y26" s="115"/>
      <c r="Z26" s="84"/>
      <c r="AA26" s="84"/>
      <c r="AB26" s="84"/>
      <c r="AC26" s="84"/>
      <c r="AD26" s="106"/>
      <c r="AE26" s="106"/>
      <c r="AH26" s="40" t="s">
        <v>28</v>
      </c>
      <c r="AI26" s="40"/>
      <c r="AJ26" s="41">
        <f>+F20</f>
        <v>5279</v>
      </c>
    </row>
    <row r="27" spans="1:43" ht="25.5" customHeight="1">
      <c r="A27" s="1"/>
      <c r="B27" s="32"/>
      <c r="C27" s="45" t="s">
        <v>17</v>
      </c>
      <c r="D27" s="47" t="s">
        <v>18</v>
      </c>
      <c r="E27" s="52" t="s">
        <v>17</v>
      </c>
      <c r="F27" s="47" t="s">
        <v>18</v>
      </c>
      <c r="G27" s="44" t="s">
        <v>17</v>
      </c>
      <c r="H27" s="47" t="s">
        <v>18</v>
      </c>
      <c r="I27" s="54" t="s">
        <v>17</v>
      </c>
      <c r="J27" s="47" t="s">
        <v>18</v>
      </c>
      <c r="K27" s="53" t="s">
        <v>17</v>
      </c>
      <c r="L27" s="55" t="s">
        <v>18</v>
      </c>
      <c r="O27" s="111"/>
      <c r="P27" s="110"/>
      <c r="Q27" s="110"/>
      <c r="R27" s="111"/>
      <c r="U27" s="119"/>
      <c r="V27" s="119"/>
      <c r="W27" s="119"/>
      <c r="X27" s="119"/>
      <c r="Y27" s="119"/>
      <c r="Z27" s="84"/>
      <c r="AA27" s="84"/>
      <c r="AB27" s="84"/>
      <c r="AC27" s="84"/>
      <c r="AD27" s="106"/>
      <c r="AE27" s="106"/>
      <c r="AF27" s="106"/>
      <c r="AH27" s="40" t="s">
        <v>29</v>
      </c>
      <c r="AI27" s="40"/>
      <c r="AJ27" s="41">
        <f>+J20+N20+P20</f>
        <v>7933</v>
      </c>
    </row>
    <row r="28" spans="1:43" ht="25.5" customHeight="1" thickBot="1">
      <c r="A28" s="1"/>
      <c r="B28" s="56"/>
      <c r="C28" s="58" t="s">
        <v>19</v>
      </c>
      <c r="D28" s="60" t="s">
        <v>20</v>
      </c>
      <c r="E28" s="65" t="s">
        <v>19</v>
      </c>
      <c r="F28" s="60" t="s">
        <v>20</v>
      </c>
      <c r="G28" s="57" t="s">
        <v>19</v>
      </c>
      <c r="H28" s="60" t="s">
        <v>20</v>
      </c>
      <c r="I28" s="67" t="s">
        <v>19</v>
      </c>
      <c r="J28" s="60" t="s">
        <v>20</v>
      </c>
      <c r="K28" s="66" t="s">
        <v>19</v>
      </c>
      <c r="L28" s="68" t="s">
        <v>20</v>
      </c>
      <c r="O28" s="111"/>
      <c r="P28" s="110"/>
      <c r="Q28" s="110"/>
      <c r="R28" s="111"/>
      <c r="U28" s="119"/>
      <c r="V28" s="119"/>
      <c r="W28" s="119"/>
      <c r="X28" s="119"/>
      <c r="Y28" s="119"/>
      <c r="Z28" s="84"/>
      <c r="AA28" s="84"/>
      <c r="AB28" s="84"/>
      <c r="AC28" s="84"/>
      <c r="AD28" s="106"/>
      <c r="AE28" s="106"/>
      <c r="AF28" s="106"/>
      <c r="AH28" s="40" t="s">
        <v>54</v>
      </c>
      <c r="AI28" s="94"/>
      <c r="AJ28" s="41">
        <f>+T20+V20</f>
        <v>817</v>
      </c>
    </row>
    <row r="29" spans="1:43" ht="25.5" customHeight="1" thickTop="1">
      <c r="A29" s="1"/>
      <c r="B29" s="69">
        <v>1</v>
      </c>
      <c r="C29" s="122">
        <f>+[29]NUTS3!$EE$101</f>
        <v>5028</v>
      </c>
      <c r="D29" s="123">
        <f>+[29]NUTS3!$EF$101</f>
        <v>230</v>
      </c>
      <c r="E29" s="122">
        <f>+[29]NUTS3!$ET$101</f>
        <v>0</v>
      </c>
      <c r="F29" s="123">
        <f>+[29]NUTS3!$EU$101</f>
        <v>0</v>
      </c>
      <c r="G29" s="122">
        <f>+[29]NUTS3!$FI$101</f>
        <v>331</v>
      </c>
      <c r="H29" s="123">
        <f>+[29]NUTS3!$FJ$101</f>
        <v>8</v>
      </c>
      <c r="I29" s="122">
        <f>[41]nez!$CS$101</f>
        <v>1866</v>
      </c>
      <c r="J29" s="123">
        <f>+[42]osoby!$DD$33</f>
        <v>1087</v>
      </c>
      <c r="K29" s="125">
        <f>+[29]NUTS3!$GG$101</f>
        <v>10</v>
      </c>
      <c r="L29" s="180">
        <f>+[29]NUTS3!$GH$101</f>
        <v>10</v>
      </c>
      <c r="O29" s="111"/>
      <c r="P29" s="110"/>
      <c r="Q29" s="93"/>
      <c r="R29" s="119"/>
      <c r="U29" s="119"/>
      <c r="V29" s="119"/>
      <c r="W29" s="119"/>
      <c r="X29" s="119"/>
      <c r="Y29" s="119"/>
      <c r="Z29" s="84"/>
      <c r="AA29" s="84"/>
      <c r="AB29" s="84"/>
      <c r="AC29" s="84"/>
      <c r="AD29" s="106"/>
      <c r="AE29" s="106"/>
      <c r="AF29" s="106"/>
      <c r="AH29" s="40" t="s">
        <v>32</v>
      </c>
      <c r="AJ29" s="41">
        <f>+D40</f>
        <v>7554</v>
      </c>
    </row>
    <row r="30" spans="1:43" ht="25.5" customHeight="1">
      <c r="A30" s="1"/>
      <c r="B30" s="69">
        <v>2</v>
      </c>
      <c r="C30" s="122">
        <f>+[30]NUTS3!$EE$101</f>
        <v>4555</v>
      </c>
      <c r="D30" s="123">
        <f>+[30]NUTS3!$EF$101</f>
        <v>341</v>
      </c>
      <c r="E30" s="122">
        <f>+[30]NUTS3!$ET$101</f>
        <v>0</v>
      </c>
      <c r="F30" s="123">
        <f>+[30]NUTS3!$EU$101</f>
        <v>0</v>
      </c>
      <c r="G30" s="122">
        <f>+[30]NUTS3!$FI$101</f>
        <v>343</v>
      </c>
      <c r="H30" s="123">
        <f>+[30]NUTS3!$FJ$101</f>
        <v>85</v>
      </c>
      <c r="I30" s="122">
        <f>[43]nez!$CS$101</f>
        <v>2059</v>
      </c>
      <c r="J30" s="123">
        <f>+[42]osoby!$DE$33</f>
        <v>2664</v>
      </c>
      <c r="K30" s="125">
        <f>+[30]NUTS3!$GG$101</f>
        <v>198</v>
      </c>
      <c r="L30" s="180">
        <f>+[30]NUTS3!$GH$101</f>
        <v>206</v>
      </c>
      <c r="O30" s="111"/>
      <c r="P30" s="110"/>
      <c r="Q30" s="93"/>
      <c r="R30" s="119"/>
      <c r="U30" s="119"/>
      <c r="V30" s="119"/>
      <c r="W30" s="119"/>
      <c r="X30" s="119"/>
      <c r="Y30" s="119"/>
      <c r="Z30" s="84"/>
      <c r="AA30" s="84"/>
      <c r="AB30" s="84"/>
      <c r="AC30" s="84"/>
      <c r="AD30" s="106"/>
      <c r="AE30" s="106"/>
      <c r="AF30" s="106"/>
      <c r="AH30" s="40" t="s">
        <v>33</v>
      </c>
      <c r="AI30" s="94"/>
      <c r="AJ30" s="41">
        <f>+F40</f>
        <v>3447</v>
      </c>
    </row>
    <row r="31" spans="1:43" ht="25.5" customHeight="1">
      <c r="A31" s="1"/>
      <c r="B31" s="69">
        <v>3</v>
      </c>
      <c r="C31" s="122">
        <f>+[31]NUTS3!$EE$101</f>
        <v>343</v>
      </c>
      <c r="D31" s="123">
        <f>+[31]NUTS3!$EF$101</f>
        <v>638</v>
      </c>
      <c r="E31" s="122">
        <f>+[31]NUTS3!$ET$101</f>
        <v>80</v>
      </c>
      <c r="F31" s="123">
        <f>+[31]NUTS3!$EU$101</f>
        <v>86</v>
      </c>
      <c r="G31" s="122">
        <f>+[31]NUTS3!$FI$101</f>
        <v>373</v>
      </c>
      <c r="H31" s="123">
        <f>+[31]NUTS3!$FJ$101</f>
        <v>136</v>
      </c>
      <c r="I31" s="122">
        <f>[44]nez!$CS$101</f>
        <v>2115</v>
      </c>
      <c r="J31" s="123">
        <f>+[42]osoby!$DF$33</f>
        <v>4629</v>
      </c>
      <c r="K31" s="125">
        <f>+[31]NUTS3!$GR$101</f>
        <v>629</v>
      </c>
      <c r="L31" s="180">
        <f>+[31]NUTS3!$GS$101</f>
        <v>727</v>
      </c>
      <c r="O31" s="111"/>
      <c r="P31" s="110"/>
      <c r="Q31" s="93"/>
      <c r="R31" s="119"/>
      <c r="U31" s="119"/>
      <c r="V31" s="119"/>
      <c r="W31" s="119"/>
      <c r="X31" s="119"/>
      <c r="Y31" s="119"/>
      <c r="Z31" s="84"/>
      <c r="AA31" s="84"/>
      <c r="AB31" s="84"/>
      <c r="AC31" s="84"/>
      <c r="AD31" s="106"/>
      <c r="AE31" s="106"/>
      <c r="AF31" s="106"/>
      <c r="AH31" s="40" t="s">
        <v>34</v>
      </c>
      <c r="AJ31" s="128">
        <f>+H40</f>
        <v>522</v>
      </c>
    </row>
    <row r="32" spans="1:43" ht="25.5" customHeight="1">
      <c r="A32" s="1"/>
      <c r="B32" s="69">
        <v>4</v>
      </c>
      <c r="C32" s="122">
        <f>+[32]NUTS3!$EE$101</f>
        <v>1469</v>
      </c>
      <c r="D32" s="123">
        <f>+[32]NUTS3!$EF$101</f>
        <v>1784</v>
      </c>
      <c r="E32" s="122">
        <f>+[32]NUTS3!$ET$101</f>
        <v>279</v>
      </c>
      <c r="F32" s="123">
        <f>+[32]NUTS3!$EU$101</f>
        <v>294</v>
      </c>
      <c r="G32" s="122">
        <f>+[32]NUTS3!$FI$101</f>
        <v>377</v>
      </c>
      <c r="H32" s="123">
        <f>+[32]NUTS3!$FJ$101</f>
        <v>168</v>
      </c>
      <c r="I32" s="122">
        <f>[45]nez!$CS$101</f>
        <v>2120</v>
      </c>
      <c r="J32" s="123">
        <f>+[42]osoby!$DG$33</f>
        <v>6737</v>
      </c>
      <c r="K32" s="125">
        <f>+[32]NUTS3!$GR$101</f>
        <v>939</v>
      </c>
      <c r="L32" s="180">
        <f>+[32]NUTS3!$GS$101</f>
        <v>1302</v>
      </c>
      <c r="O32" s="111"/>
      <c r="P32" s="110"/>
      <c r="Q32" s="93"/>
      <c r="R32" s="119"/>
      <c r="U32" s="119"/>
      <c r="V32" s="119"/>
      <c r="W32" s="119"/>
      <c r="X32" s="119"/>
      <c r="Y32" s="119"/>
      <c r="Z32" s="84"/>
      <c r="AA32" s="84"/>
      <c r="AB32" s="84"/>
      <c r="AC32" s="84"/>
      <c r="AD32" s="106"/>
      <c r="AE32" s="106"/>
      <c r="AF32" s="106"/>
      <c r="AH32" s="88" t="s">
        <v>35</v>
      </c>
      <c r="AI32" s="94"/>
      <c r="AJ32" s="41">
        <f>+J40</f>
        <v>18631</v>
      </c>
    </row>
    <row r="33" spans="1:40" ht="25.5" customHeight="1">
      <c r="A33" s="1"/>
      <c r="B33" s="69">
        <v>5</v>
      </c>
      <c r="C33" s="122">
        <f>+[33]NUTS3!$EE$101</f>
        <v>2569</v>
      </c>
      <c r="D33" s="123">
        <f>+[33]NUTS3!$EF$101</f>
        <v>2948</v>
      </c>
      <c r="E33" s="122">
        <f>+[33]NUTS3!$ET$101</f>
        <v>533</v>
      </c>
      <c r="F33" s="123">
        <f>+[33]NUTS3!$EU$101</f>
        <v>556</v>
      </c>
      <c r="G33" s="122">
        <f>+[33]NUTS3!$FI$101</f>
        <v>374</v>
      </c>
      <c r="H33" s="123">
        <f>+[33]NUTS3!$FJ$101</f>
        <v>196</v>
      </c>
      <c r="I33" s="122">
        <f>[46]nez!$CS$101</f>
        <v>2008</v>
      </c>
      <c r="J33" s="123">
        <f>+[42]osoby!$DH$33</f>
        <v>8325</v>
      </c>
      <c r="K33" s="125">
        <f>+[33]NUTS3!$GR$101</f>
        <v>1054</v>
      </c>
      <c r="L33" s="180">
        <f>+[33]NUTS3!$GS$101</f>
        <v>1951</v>
      </c>
      <c r="O33" s="111"/>
      <c r="P33" s="110"/>
      <c r="Q33" s="93"/>
      <c r="R33" s="119"/>
      <c r="U33" s="119"/>
      <c r="V33" s="119"/>
      <c r="W33" s="119"/>
      <c r="X33" s="119"/>
      <c r="Y33" s="119"/>
      <c r="Z33" s="84"/>
      <c r="AA33" s="84"/>
      <c r="AB33" s="84"/>
      <c r="AC33" s="84"/>
      <c r="AD33" s="106"/>
      <c r="AE33" s="106"/>
      <c r="AF33" s="106"/>
      <c r="AH33" s="27" t="s">
        <v>55</v>
      </c>
      <c r="AJ33" s="128">
        <f>+L40</f>
        <v>6568</v>
      </c>
      <c r="AK33" s="129"/>
      <c r="AL33" s="129"/>
      <c r="AM33" s="129"/>
      <c r="AN33" s="129"/>
    </row>
    <row r="34" spans="1:40" ht="25.5" customHeight="1">
      <c r="A34" s="1"/>
      <c r="B34" s="69">
        <v>6</v>
      </c>
      <c r="C34" s="122">
        <f>+[34]NUTS3!$EE$101</f>
        <v>3190</v>
      </c>
      <c r="D34" s="123">
        <f>+[34]NUTS3!$EF$101</f>
        <v>3612</v>
      </c>
      <c r="E34" s="122">
        <f>+[34]NUTS3!$ET$101</f>
        <v>874</v>
      </c>
      <c r="F34" s="123">
        <f>+[34]NUTS3!$EU$101</f>
        <v>907</v>
      </c>
      <c r="G34" s="122">
        <f>+[34]NUTS3!$FI$101</f>
        <v>385</v>
      </c>
      <c r="H34" s="123">
        <f>+[34]NUTS3!$FJ$101</f>
        <v>227</v>
      </c>
      <c r="I34" s="122">
        <f>[47]nez!$CS$101</f>
        <v>1498</v>
      </c>
      <c r="J34" s="123">
        <f>+[42]osoby!$DI$33</f>
        <v>9702</v>
      </c>
      <c r="K34" s="125">
        <f>+[34]NUTS3!$GR$101</f>
        <v>994</v>
      </c>
      <c r="L34" s="180">
        <f>+[34]NUTS3!$GS$101</f>
        <v>2336</v>
      </c>
      <c r="O34" s="111"/>
      <c r="P34" s="110"/>
      <c r="Q34" s="93"/>
      <c r="R34" s="119"/>
      <c r="U34" s="119"/>
      <c r="V34" s="119"/>
      <c r="W34" s="119"/>
      <c r="X34" s="119"/>
      <c r="Y34" s="119"/>
      <c r="Z34" s="84"/>
      <c r="AA34" s="84"/>
      <c r="AB34" s="84"/>
      <c r="AC34" s="84"/>
      <c r="AD34" s="106"/>
      <c r="AE34" s="106"/>
      <c r="AF34" s="106"/>
      <c r="AH34" s="40" t="s">
        <v>56</v>
      </c>
      <c r="AI34" s="94"/>
      <c r="AJ34" s="41">
        <f>+X20</f>
        <v>1514</v>
      </c>
      <c r="AK34" s="108"/>
      <c r="AL34" s="129"/>
      <c r="AM34" s="129"/>
      <c r="AN34" s="129"/>
    </row>
    <row r="35" spans="1:40" ht="25.5" customHeight="1">
      <c r="A35" s="1"/>
      <c r="B35" s="69">
        <v>7</v>
      </c>
      <c r="C35" s="122">
        <f>+[35]NUTS3!$EE$101</f>
        <v>4035</v>
      </c>
      <c r="D35" s="123">
        <f>+[35]NUTS3!$EF$101</f>
        <v>4501</v>
      </c>
      <c r="E35" s="122">
        <f>+[35]NUTS3!$ET$101</f>
        <v>1173</v>
      </c>
      <c r="F35" s="123">
        <f>+[35]NUTS3!$EU$101</f>
        <v>1216</v>
      </c>
      <c r="G35" s="122">
        <f>+[35]NUTS3!$FI$101</f>
        <v>334</v>
      </c>
      <c r="H35" s="123">
        <f>+[35]NUTS3!$FJ$101</f>
        <v>320</v>
      </c>
      <c r="I35" s="181">
        <f>[48]nez!$CS$101</f>
        <v>1113</v>
      </c>
      <c r="J35" s="182">
        <f>+[42]osoby!$DJ$33</f>
        <v>10412</v>
      </c>
      <c r="K35" s="125">
        <f>+[35]NUTS3!$GR$101</f>
        <v>1027</v>
      </c>
      <c r="L35" s="180">
        <f>+[35]NUTS3!$GS$101</f>
        <v>2720</v>
      </c>
      <c r="O35" s="111"/>
      <c r="P35" s="110"/>
      <c r="Q35" s="93"/>
      <c r="R35" s="119"/>
      <c r="U35" s="119"/>
      <c r="V35" s="119"/>
      <c r="W35" s="119"/>
      <c r="X35" s="119"/>
      <c r="Y35" s="119"/>
      <c r="Z35" s="84"/>
      <c r="AA35" s="84"/>
      <c r="AB35" s="84"/>
      <c r="AC35" s="84"/>
      <c r="AD35" s="106"/>
      <c r="AE35" s="106"/>
      <c r="AF35" s="106"/>
      <c r="AH35" s="40" t="s">
        <v>38</v>
      </c>
      <c r="AI35" s="93"/>
      <c r="AJ35" s="41">
        <f>+AB20</f>
        <v>13</v>
      </c>
      <c r="AK35" s="129"/>
      <c r="AL35" s="129"/>
      <c r="AM35" s="129"/>
      <c r="AN35" s="129"/>
    </row>
    <row r="36" spans="1:40" ht="25.5" customHeight="1">
      <c r="A36" s="1"/>
      <c r="B36" s="69">
        <v>8</v>
      </c>
      <c r="C36" s="122">
        <f>+[36]NUTS3!$EE$101</f>
        <v>4478</v>
      </c>
      <c r="D36" s="123">
        <f>+[36]NUTS3!$EF$101</f>
        <v>5017</v>
      </c>
      <c r="E36" s="122">
        <f>+[36]NUTS3!$ET$101</f>
        <v>1410</v>
      </c>
      <c r="F36" s="123">
        <f>+[36]NUTS3!$EU$101</f>
        <v>1495</v>
      </c>
      <c r="G36" s="122">
        <f>+[36]NUTS3!$FI$101</f>
        <v>278</v>
      </c>
      <c r="H36" s="123">
        <f>+[36]NUTS3!$FJ$101</f>
        <v>363</v>
      </c>
      <c r="I36" s="181">
        <f>[49]nez!$CS$101</f>
        <v>941</v>
      </c>
      <c r="J36" s="182">
        <f>+[42]osoby!$DK$33</f>
        <v>11019</v>
      </c>
      <c r="K36" s="125">
        <f>+[36]NUTS3!$GR$101</f>
        <v>1133</v>
      </c>
      <c r="L36" s="180">
        <f>+[36]NUTS3!$GS$101</f>
        <v>3168</v>
      </c>
      <c r="O36" s="111"/>
      <c r="P36" s="110"/>
      <c r="Q36" s="93"/>
      <c r="R36" s="119"/>
      <c r="U36" s="119"/>
      <c r="V36" s="119"/>
      <c r="W36" s="119"/>
      <c r="X36" s="119"/>
      <c r="Y36" s="119"/>
      <c r="Z36" s="84"/>
      <c r="AA36" s="84"/>
      <c r="AB36" s="84"/>
      <c r="AC36" s="84"/>
      <c r="AD36" s="106"/>
      <c r="AE36" s="106"/>
      <c r="AF36" s="106"/>
      <c r="AH36" s="40" t="s">
        <v>31</v>
      </c>
      <c r="AI36" s="94"/>
      <c r="AJ36" s="41">
        <f>+AD20</f>
        <v>130</v>
      </c>
      <c r="AK36" s="107"/>
      <c r="AL36" s="107"/>
      <c r="AM36" s="107"/>
      <c r="AN36" s="107"/>
    </row>
    <row r="37" spans="1:40" ht="25.5" customHeight="1">
      <c r="A37" s="1"/>
      <c r="B37" s="69">
        <v>9</v>
      </c>
      <c r="C37" s="122">
        <f>+[37]NUTS3!$EE$101</f>
        <v>4835</v>
      </c>
      <c r="D37" s="123">
        <f>+[37]NUTS3!$EF$101</f>
        <v>5627</v>
      </c>
      <c r="E37" s="122">
        <f>+[37]NUTS3!$ET$101</f>
        <v>1620</v>
      </c>
      <c r="F37" s="123">
        <f>+[37]NUTS3!$EU$101</f>
        <v>1818</v>
      </c>
      <c r="G37" s="122">
        <f>+[37]NUTS3!$FI$101</f>
        <v>231</v>
      </c>
      <c r="H37" s="123">
        <f>+[37]NUTS3!$FJ$101</f>
        <v>374</v>
      </c>
      <c r="I37" s="181">
        <f>[50]nez!$CS$101</f>
        <v>1687</v>
      </c>
      <c r="J37" s="182">
        <f>+[42]osoby!$DL$33</f>
        <v>12565</v>
      </c>
      <c r="K37" s="125">
        <f>+[37]NUTS3!$GR$101</f>
        <v>1723</v>
      </c>
      <c r="L37" s="180">
        <f>+[37]NUTS3!$GS$101</f>
        <v>4122</v>
      </c>
      <c r="O37" s="111"/>
      <c r="P37" s="110"/>
      <c r="Q37" s="93"/>
      <c r="R37" s="119"/>
      <c r="U37" s="119"/>
      <c r="V37" s="119"/>
      <c r="W37" s="119"/>
      <c r="X37" s="119"/>
      <c r="Y37" s="119"/>
      <c r="Z37" s="84"/>
      <c r="AA37" s="84"/>
      <c r="AB37" s="84"/>
      <c r="AC37" s="84"/>
      <c r="AD37" s="106"/>
      <c r="AE37" s="106"/>
      <c r="AF37" s="106"/>
      <c r="AK37" s="112"/>
      <c r="AL37" s="112"/>
      <c r="AM37" s="112"/>
      <c r="AN37" s="112"/>
    </row>
    <row r="38" spans="1:40" ht="25.5" customHeight="1">
      <c r="A38" s="1"/>
      <c r="B38" s="69">
        <v>10</v>
      </c>
      <c r="C38" s="122">
        <f>+[38]NUTS3!$EE$101</f>
        <v>5259</v>
      </c>
      <c r="D38" s="123">
        <f>+[38]NUTS3!$EF$101</f>
        <v>6448</v>
      </c>
      <c r="E38" s="122">
        <f>+[38]NUTS3!$ET$101</f>
        <v>1887</v>
      </c>
      <c r="F38" s="123">
        <f>+[38]NUTS3!$EU$101</f>
        <v>2300</v>
      </c>
      <c r="G38" s="122">
        <f>+[38]NUTS3!$FI$101</f>
        <v>235</v>
      </c>
      <c r="H38" s="123">
        <f>+[38]NUTS3!$FJ$101</f>
        <v>397</v>
      </c>
      <c r="I38" s="181">
        <f>[51]nez!$CS$101</f>
        <v>2596</v>
      </c>
      <c r="J38" s="182">
        <f>+[42]osoby!$DM$33</f>
        <v>14992</v>
      </c>
      <c r="K38" s="125">
        <f>+[38]NUTS3!$GR$101</f>
        <v>2217</v>
      </c>
      <c r="L38" s="180">
        <f>+[38]NUTS3!$GS$101</f>
        <v>5136</v>
      </c>
      <c r="O38" s="125"/>
      <c r="P38" s="125"/>
      <c r="Q38" s="93"/>
      <c r="R38" s="119"/>
      <c r="U38" s="119"/>
      <c r="V38" s="119"/>
      <c r="W38" s="119"/>
      <c r="X38" s="119"/>
      <c r="Y38" s="119"/>
      <c r="Z38" s="84"/>
      <c r="AA38" s="84"/>
      <c r="AB38" s="84"/>
      <c r="AC38" s="84"/>
      <c r="AD38" s="106"/>
      <c r="AE38" s="106"/>
      <c r="AF38" s="106"/>
      <c r="AK38" s="111"/>
      <c r="AL38" s="111"/>
      <c r="AM38" s="111"/>
      <c r="AN38" s="115"/>
    </row>
    <row r="39" spans="1:40" ht="25.5" customHeight="1">
      <c r="A39" s="1"/>
      <c r="B39" s="69">
        <v>11</v>
      </c>
      <c r="C39" s="122">
        <f>+[39]NUTS3!$EE$101</f>
        <v>5300</v>
      </c>
      <c r="D39" s="123">
        <f>+[39]NUTS3!$EF$101</f>
        <v>7050</v>
      </c>
      <c r="E39" s="122">
        <f>+[39]NUTS3!$ET$101</f>
        <v>2245</v>
      </c>
      <c r="F39" s="123">
        <f>+[39]NUTS3!$EU$101</f>
        <v>2889</v>
      </c>
      <c r="G39" s="122">
        <f>+[39]NUTS3!$FI$101</f>
        <v>232</v>
      </c>
      <c r="H39" s="123">
        <f>+[39]NUTS3!$FJ$101</f>
        <v>433</v>
      </c>
      <c r="I39" s="181">
        <f>[52]nez!$CS$101</f>
        <v>3185</v>
      </c>
      <c r="J39" s="182">
        <f>+[42]osoby!$DN$33</f>
        <v>17606</v>
      </c>
      <c r="K39" s="125">
        <f>+[39]NUTS3!$GR$101</f>
        <v>2269</v>
      </c>
      <c r="L39" s="180">
        <f>+[39]NUTS3!$GS$101</f>
        <v>5976</v>
      </c>
      <c r="O39" s="125"/>
      <c r="P39" s="125"/>
      <c r="Q39" s="93"/>
      <c r="R39" s="119"/>
      <c r="U39" s="84"/>
      <c r="V39" s="84"/>
      <c r="W39" s="84"/>
      <c r="X39" s="84"/>
      <c r="Y39" s="84"/>
      <c r="Z39" s="84"/>
      <c r="AA39" s="84"/>
      <c r="AB39" s="84"/>
      <c r="AC39" s="84"/>
      <c r="AD39" s="106"/>
      <c r="AE39" s="106"/>
      <c r="AF39" s="106"/>
      <c r="AK39" s="111"/>
      <c r="AL39" s="111"/>
      <c r="AM39" s="111"/>
      <c r="AN39" s="115"/>
    </row>
    <row r="40" spans="1:40" ht="25.5" customHeight="1" thickBot="1">
      <c r="A40" s="1"/>
      <c r="B40" s="132">
        <v>12</v>
      </c>
      <c r="C40" s="135">
        <f>+[40]NUTS3!$EE$101</f>
        <v>5312</v>
      </c>
      <c r="D40" s="136">
        <f>+[40]NUTS3!$EF$101</f>
        <v>7554</v>
      </c>
      <c r="E40" s="135">
        <f>+[40]NUTS3!$ET$101</f>
        <v>2498</v>
      </c>
      <c r="F40" s="136">
        <f>+[40]NUTS3!$EU$101</f>
        <v>3447</v>
      </c>
      <c r="G40" s="135">
        <f>+[40]NUTS3!$FI$101</f>
        <v>316</v>
      </c>
      <c r="H40" s="136">
        <f>+[40]NUTS3!$FJ$101</f>
        <v>522</v>
      </c>
      <c r="I40" s="183">
        <f>[53]nez!$CS$101</f>
        <v>1856</v>
      </c>
      <c r="J40" s="184">
        <f>+[42]osoby!$DO$33</f>
        <v>18631</v>
      </c>
      <c r="K40" s="185">
        <f>+[40]NUTS3!$GR$101</f>
        <v>1897</v>
      </c>
      <c r="L40" s="186">
        <f>+[40]NUTS3!$GS$101</f>
        <v>6568</v>
      </c>
      <c r="O40" s="125"/>
      <c r="P40" s="125"/>
      <c r="Q40" s="93"/>
      <c r="R40" s="119"/>
      <c r="U40" s="84"/>
      <c r="V40" s="84"/>
      <c r="W40" s="84"/>
      <c r="X40" s="84"/>
      <c r="Y40" s="84"/>
      <c r="Z40" s="84"/>
      <c r="AA40" s="84"/>
      <c r="AB40" s="84"/>
      <c r="AC40" s="84"/>
      <c r="AD40" s="106"/>
      <c r="AE40" s="106"/>
      <c r="AF40" s="106"/>
      <c r="AH40" s="111"/>
      <c r="AI40" s="93"/>
      <c r="AJ40" s="93"/>
      <c r="AK40" s="111"/>
      <c r="AL40" s="111"/>
      <c r="AM40" s="111"/>
      <c r="AN40" s="115"/>
    </row>
    <row r="41" spans="1:40" ht="25.5" customHeight="1" thickTop="1">
      <c r="A41" s="1"/>
      <c r="B41" s="187" t="s">
        <v>57</v>
      </c>
      <c r="C41" s="188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93"/>
      <c r="Q41" s="93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106"/>
      <c r="AE41" s="106"/>
      <c r="AF41" s="106"/>
      <c r="AH41" s="119"/>
      <c r="AI41" s="93"/>
      <c r="AJ41" s="93"/>
      <c r="AK41" s="119"/>
      <c r="AL41" s="119"/>
      <c r="AM41" s="119"/>
      <c r="AN41" s="119"/>
    </row>
    <row r="42" spans="1:40" ht="16.5" customHeight="1">
      <c r="A42" s="1"/>
      <c r="B42" s="189" t="s">
        <v>58</v>
      </c>
      <c r="C42" s="84"/>
      <c r="D42" s="84"/>
      <c r="E42" s="84"/>
      <c r="F42" s="84"/>
      <c r="G42" s="84"/>
      <c r="H42" s="84"/>
      <c r="I42" s="93"/>
      <c r="J42" s="140"/>
      <c r="K42" s="108"/>
      <c r="L42" s="108"/>
      <c r="M42" s="93"/>
      <c r="N42" s="84"/>
      <c r="O42" s="141"/>
      <c r="P42" s="142"/>
      <c r="Q42" s="93"/>
      <c r="R42" s="93"/>
      <c r="S42" s="93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106"/>
      <c r="AE42" s="106"/>
      <c r="AF42" s="106"/>
      <c r="AH42" s="119"/>
      <c r="AI42" s="93"/>
      <c r="AJ42" s="93"/>
      <c r="AK42" s="119"/>
      <c r="AL42" s="119"/>
      <c r="AM42" s="119"/>
      <c r="AN42" s="119"/>
    </row>
    <row r="43" spans="1:40" ht="20.100000000000001" customHeight="1">
      <c r="A43" s="1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AH43" s="119"/>
      <c r="AI43" s="93"/>
      <c r="AJ43" s="93"/>
      <c r="AK43" s="119"/>
      <c r="AL43" s="119"/>
      <c r="AM43" s="119"/>
      <c r="AN43" s="119"/>
    </row>
    <row r="44" spans="1:40" ht="20.100000000000001" customHeight="1">
      <c r="A44" s="143"/>
      <c r="B44" s="105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AH44" s="93"/>
      <c r="AI44" s="93"/>
      <c r="AK44" s="93"/>
      <c r="AL44" s="93"/>
      <c r="AM44" s="93"/>
      <c r="AN44" s="93"/>
    </row>
    <row r="45" spans="1:40" ht="20.100000000000001" customHeight="1">
      <c r="AG45" s="40"/>
      <c r="AH45" s="93"/>
      <c r="AI45" s="93"/>
      <c r="AJ45" s="93"/>
      <c r="AK45" s="93"/>
      <c r="AL45" s="93"/>
      <c r="AM45" s="93"/>
      <c r="AN45" s="93"/>
    </row>
    <row r="46" spans="1:40" ht="20.100000000000001" customHeight="1">
      <c r="AI46" s="11"/>
      <c r="AJ46" s="11"/>
      <c r="AK46" s="93"/>
      <c r="AL46" s="93"/>
      <c r="AM46" s="93"/>
      <c r="AN46" s="93"/>
    </row>
    <row r="47" spans="1:40" ht="20.100000000000001" customHeight="1">
      <c r="D47" s="144"/>
      <c r="AK47" s="93"/>
      <c r="AL47" s="93"/>
      <c r="AM47" s="93"/>
      <c r="AN47" s="93"/>
    </row>
    <row r="48" spans="1:40" ht="28.5" customHeight="1">
      <c r="P48" s="145"/>
      <c r="AK48" s="93"/>
      <c r="AL48" s="93"/>
      <c r="AM48" s="93"/>
      <c r="AN48" s="93"/>
    </row>
    <row r="49" spans="2:40" ht="20.100000000000001" customHeight="1">
      <c r="B49" s="146"/>
      <c r="D49" s="146"/>
      <c r="AK49" s="93"/>
      <c r="AL49" s="93"/>
      <c r="AM49" s="93"/>
      <c r="AN49" s="93"/>
    </row>
    <row r="50" spans="2:40" ht="20.100000000000001" customHeight="1">
      <c r="N50" s="11"/>
      <c r="O50" s="11"/>
      <c r="P50" s="147"/>
      <c r="Q50" s="11"/>
      <c r="R50" s="11"/>
      <c r="AK50" s="93"/>
      <c r="AL50" s="93"/>
      <c r="AM50" s="93"/>
      <c r="AN50" s="93"/>
    </row>
    <row r="51" spans="2:40" ht="20.100000000000001" customHeight="1">
      <c r="N51" s="11"/>
      <c r="O51" s="11"/>
      <c r="P51" s="48"/>
      <c r="Q51" s="11"/>
      <c r="R51" s="11"/>
      <c r="AK51" s="93"/>
      <c r="AL51" s="93"/>
      <c r="AM51" s="93"/>
      <c r="AN51" s="93"/>
    </row>
    <row r="52" spans="2:40" ht="20.100000000000001" customHeight="1">
      <c r="N52" s="11"/>
      <c r="O52" s="11"/>
      <c r="P52" s="48"/>
      <c r="Q52" s="11"/>
      <c r="R52" s="11"/>
      <c r="AH52" s="93"/>
      <c r="AI52" s="93"/>
      <c r="AJ52" s="93"/>
      <c r="AK52" s="93"/>
      <c r="AL52" s="93"/>
      <c r="AM52" s="93"/>
      <c r="AN52" s="93"/>
    </row>
    <row r="53" spans="2:40" ht="20.100000000000001" customHeight="1">
      <c r="N53" s="11"/>
      <c r="O53" s="11"/>
      <c r="P53" s="48"/>
      <c r="Q53" s="11"/>
      <c r="R53" s="11"/>
      <c r="AH53" s="93"/>
      <c r="AI53" s="93"/>
      <c r="AJ53" s="93"/>
      <c r="AK53" s="93"/>
      <c r="AL53" s="93"/>
      <c r="AM53" s="93"/>
      <c r="AN53" s="93"/>
    </row>
    <row r="54" spans="2:40" ht="20.100000000000001" customHeight="1">
      <c r="N54" s="11"/>
      <c r="O54" s="105"/>
      <c r="P54" s="148"/>
      <c r="Q54" s="11"/>
      <c r="R54" s="11"/>
      <c r="AH54" s="30"/>
      <c r="AI54" s="30"/>
      <c r="AJ54" s="116"/>
      <c r="AK54" s="116"/>
      <c r="AL54" s="30"/>
      <c r="AM54" s="30"/>
      <c r="AN54" s="30"/>
    </row>
    <row r="55" spans="2:40" ht="20.100000000000001" customHeight="1">
      <c r="N55" s="11"/>
      <c r="O55" s="105"/>
      <c r="P55" s="148"/>
      <c r="Q55" s="11"/>
      <c r="R55" s="11"/>
      <c r="AJ55" s="149"/>
      <c r="AK55" s="149"/>
    </row>
    <row r="56" spans="2:40" ht="20.100000000000001" customHeight="1">
      <c r="N56" s="11"/>
      <c r="O56" s="105"/>
      <c r="P56" s="150"/>
      <c r="Q56" s="11"/>
      <c r="R56" s="11"/>
    </row>
    <row r="57" spans="2:40" ht="20.100000000000001" customHeight="1">
      <c r="N57" s="11"/>
      <c r="O57" s="105"/>
      <c r="P57" s="150"/>
      <c r="Q57" s="11"/>
      <c r="R57" s="11"/>
    </row>
    <row r="58" spans="2:40" ht="20.100000000000001" customHeight="1">
      <c r="N58" s="11"/>
      <c r="O58" s="105"/>
      <c r="P58" s="150"/>
      <c r="Q58" s="11"/>
      <c r="R58" s="11"/>
    </row>
    <row r="59" spans="2:40" ht="20.100000000000001" customHeight="1">
      <c r="N59" s="11"/>
      <c r="O59" s="105"/>
      <c r="P59" s="150"/>
      <c r="Q59" s="11"/>
      <c r="R59" s="11"/>
    </row>
    <row r="60" spans="2:40" ht="20.100000000000001" customHeight="1">
      <c r="N60" s="11"/>
      <c r="O60" s="105"/>
      <c r="P60" s="150"/>
      <c r="Q60" s="11"/>
      <c r="R60" s="11"/>
    </row>
    <row r="61" spans="2:40" ht="21.75" customHeight="1">
      <c r="N61" s="11"/>
      <c r="O61" s="105"/>
      <c r="P61" s="150"/>
      <c r="Q61" s="11"/>
      <c r="R61" s="151"/>
      <c r="S61" s="152"/>
      <c r="T61" s="152"/>
      <c r="U61" s="152"/>
      <c r="V61" s="152"/>
      <c r="W61" s="152"/>
      <c r="X61" s="152"/>
      <c r="AI61" s="128"/>
      <c r="AJ61" s="128"/>
    </row>
    <row r="62" spans="2:40" ht="21.75" customHeight="1">
      <c r="N62" s="11"/>
      <c r="O62" s="105"/>
      <c r="P62" s="150"/>
      <c r="Q62" s="11"/>
      <c r="R62" s="151"/>
      <c r="S62" s="152"/>
      <c r="T62" s="152"/>
      <c r="U62" s="152"/>
      <c r="V62" s="152"/>
      <c r="W62" s="152"/>
      <c r="X62" s="152"/>
      <c r="AI62" s="128"/>
      <c r="AJ62" s="128"/>
    </row>
    <row r="63" spans="2:40" ht="21.95" customHeight="1">
      <c r="B63" s="153"/>
      <c r="C63" s="111"/>
      <c r="D63" s="111"/>
      <c r="E63" s="111"/>
      <c r="F63" s="111"/>
      <c r="G63" s="111"/>
      <c r="H63" s="111"/>
      <c r="I63" s="154"/>
      <c r="J63" s="152"/>
      <c r="N63" s="151"/>
      <c r="O63" s="105"/>
      <c r="P63" s="150"/>
      <c r="Q63" s="151"/>
      <c r="R63" s="155"/>
      <c r="S63" s="156"/>
      <c r="T63" s="156"/>
      <c r="U63" s="156"/>
      <c r="V63" s="156"/>
      <c r="W63" s="156"/>
      <c r="X63" s="156"/>
      <c r="AI63" s="128"/>
      <c r="AJ63" s="128"/>
    </row>
    <row r="64" spans="2:40" ht="21.95" customHeight="1">
      <c r="B64" s="153"/>
      <c r="C64" s="111"/>
      <c r="D64" s="111"/>
      <c r="E64" s="111"/>
      <c r="F64" s="111"/>
      <c r="G64" s="111"/>
      <c r="H64" s="111"/>
      <c r="I64" s="154"/>
      <c r="J64" s="152"/>
      <c r="K64" s="152"/>
      <c r="L64" s="152"/>
      <c r="M64" s="152"/>
      <c r="N64" s="151"/>
      <c r="O64" s="105"/>
      <c r="P64" s="150"/>
      <c r="Q64" s="151"/>
      <c r="R64" s="155"/>
      <c r="S64" s="156"/>
      <c r="T64" s="156"/>
      <c r="U64" s="156"/>
      <c r="V64" s="156"/>
      <c r="W64" s="156"/>
      <c r="X64" s="156"/>
      <c r="AI64" s="128"/>
      <c r="AJ64" s="128"/>
    </row>
    <row r="65" spans="2:36" ht="21.95" customHeight="1">
      <c r="B65" s="105"/>
      <c r="C65" s="93"/>
      <c r="D65" s="93"/>
      <c r="E65" s="93"/>
      <c r="F65" s="93"/>
      <c r="G65" s="93"/>
      <c r="H65" s="93"/>
      <c r="I65" s="93"/>
      <c r="J65" s="156"/>
      <c r="K65" s="156"/>
      <c r="L65" s="156"/>
      <c r="M65" s="156"/>
      <c r="N65" s="155"/>
      <c r="O65" s="105"/>
      <c r="P65" s="157"/>
      <c r="Q65" s="155"/>
      <c r="R65" s="155"/>
      <c r="S65" s="156"/>
      <c r="T65" s="156"/>
      <c r="U65" s="156"/>
      <c r="V65" s="156"/>
      <c r="W65" s="156"/>
      <c r="X65" s="156"/>
      <c r="AI65" s="128"/>
      <c r="AJ65" s="128"/>
    </row>
    <row r="66" spans="2:36" ht="21.95" customHeight="1">
      <c r="B66" s="105"/>
      <c r="C66" s="93"/>
      <c r="D66" s="93"/>
      <c r="E66" s="93"/>
      <c r="F66" s="93"/>
      <c r="G66" s="93"/>
      <c r="H66" s="93"/>
      <c r="I66" s="93"/>
      <c r="J66" s="156"/>
      <c r="K66" s="156"/>
      <c r="L66" s="156"/>
      <c r="M66" s="156"/>
      <c r="N66" s="155"/>
      <c r="O66" s="155"/>
      <c r="P66" s="155"/>
      <c r="Q66" s="155"/>
      <c r="R66" s="155"/>
      <c r="S66" s="156"/>
      <c r="T66" s="156"/>
      <c r="U66" s="156"/>
      <c r="V66" s="156"/>
      <c r="W66" s="156"/>
      <c r="X66" s="156"/>
      <c r="AI66" s="128"/>
      <c r="AJ66" s="128"/>
    </row>
    <row r="67" spans="2:36" ht="21.95" customHeight="1">
      <c r="B67" s="105"/>
      <c r="C67" s="93"/>
      <c r="D67" s="93"/>
      <c r="E67" s="93"/>
      <c r="F67" s="93"/>
      <c r="G67" s="93"/>
      <c r="H67" s="93"/>
      <c r="I67" s="93"/>
      <c r="J67" s="156"/>
      <c r="K67" s="156"/>
      <c r="L67" s="156"/>
      <c r="M67" s="156"/>
      <c r="N67" s="155"/>
      <c r="O67" s="155"/>
      <c r="P67" s="155"/>
      <c r="Q67" s="155"/>
      <c r="R67" s="155"/>
      <c r="S67" s="156"/>
      <c r="T67" s="156"/>
      <c r="U67" s="156"/>
      <c r="V67" s="156"/>
      <c r="W67" s="156"/>
      <c r="X67" s="156"/>
      <c r="AI67" s="128"/>
      <c r="AJ67" s="128"/>
    </row>
    <row r="68" spans="2:36" ht="21.95" customHeight="1">
      <c r="B68" s="105"/>
      <c r="C68" s="93"/>
      <c r="D68" s="93"/>
      <c r="E68" s="93"/>
      <c r="F68" s="93"/>
      <c r="G68" s="93"/>
      <c r="H68" s="93"/>
      <c r="I68" s="93"/>
      <c r="J68" s="156"/>
      <c r="K68" s="156"/>
      <c r="L68" s="156"/>
      <c r="M68" s="156"/>
      <c r="N68" s="155"/>
      <c r="O68" s="155"/>
      <c r="P68" s="155"/>
      <c r="Q68" s="155"/>
      <c r="R68" s="155"/>
      <c r="S68" s="156"/>
      <c r="T68" s="156"/>
      <c r="U68" s="156"/>
      <c r="V68" s="156"/>
      <c r="W68" s="156"/>
      <c r="X68" s="156"/>
      <c r="AI68" s="128"/>
      <c r="AJ68" s="128"/>
    </row>
    <row r="69" spans="2:36" ht="21.95" customHeight="1">
      <c r="B69" s="105"/>
      <c r="C69" s="93"/>
      <c r="D69" s="93"/>
      <c r="E69" s="93"/>
      <c r="F69" s="93"/>
      <c r="G69" s="93"/>
      <c r="H69" s="93"/>
      <c r="I69" s="93"/>
      <c r="J69" s="156"/>
      <c r="K69" s="156"/>
      <c r="L69" s="156"/>
      <c r="M69" s="156"/>
      <c r="N69" s="155"/>
      <c r="O69" s="155"/>
      <c r="P69" s="155"/>
      <c r="Q69" s="155"/>
      <c r="R69" s="155"/>
      <c r="S69" s="156"/>
      <c r="T69" s="156"/>
      <c r="U69" s="156"/>
      <c r="V69" s="156"/>
      <c r="W69" s="156"/>
      <c r="X69" s="156"/>
      <c r="AI69" s="128"/>
      <c r="AJ69" s="128"/>
    </row>
    <row r="70" spans="2:36" ht="21.95" customHeight="1">
      <c r="B70" s="105"/>
      <c r="C70" s="93"/>
      <c r="D70" s="93"/>
      <c r="E70" s="93"/>
      <c r="F70" s="93"/>
      <c r="G70" s="93"/>
      <c r="H70" s="93"/>
      <c r="I70" s="93"/>
      <c r="J70" s="156"/>
      <c r="K70" s="156"/>
      <c r="L70" s="156"/>
      <c r="M70" s="156"/>
      <c r="N70" s="155"/>
      <c r="O70" s="155"/>
      <c r="P70" s="155"/>
      <c r="Q70" s="155"/>
      <c r="R70" s="155"/>
      <c r="S70" s="156"/>
      <c r="T70" s="156"/>
      <c r="U70" s="156"/>
      <c r="V70" s="156"/>
      <c r="W70" s="156"/>
      <c r="X70" s="156"/>
      <c r="AI70" s="128"/>
      <c r="AJ70" s="128"/>
    </row>
    <row r="71" spans="2:36" ht="21.95" customHeight="1">
      <c r="B71" s="105"/>
      <c r="C71" s="93"/>
      <c r="D71" s="93"/>
      <c r="E71" s="93"/>
      <c r="F71" s="93"/>
      <c r="G71" s="93"/>
      <c r="H71" s="93"/>
      <c r="I71" s="93"/>
      <c r="J71" s="156"/>
      <c r="K71" s="156"/>
      <c r="L71" s="156"/>
      <c r="M71" s="156"/>
      <c r="N71" s="155"/>
      <c r="O71" s="155"/>
      <c r="P71" s="155"/>
      <c r="Q71" s="155"/>
      <c r="R71" s="155"/>
      <c r="S71" s="156"/>
      <c r="T71" s="156"/>
      <c r="U71" s="156"/>
      <c r="V71" s="156"/>
      <c r="W71" s="156"/>
      <c r="X71" s="156"/>
    </row>
    <row r="72" spans="2:36" ht="21.95" customHeight="1">
      <c r="B72" s="105"/>
      <c r="C72" s="93"/>
      <c r="D72" s="93"/>
      <c r="E72" s="93"/>
      <c r="F72" s="93"/>
      <c r="G72" s="93"/>
      <c r="H72" s="93"/>
      <c r="I72" s="93"/>
      <c r="J72" s="156"/>
      <c r="K72" s="156"/>
      <c r="L72" s="156"/>
      <c r="M72" s="156"/>
      <c r="N72" s="155"/>
      <c r="O72" s="155"/>
      <c r="P72" s="155"/>
      <c r="Q72" s="155"/>
      <c r="R72" s="155"/>
      <c r="S72" s="156"/>
      <c r="T72" s="156"/>
      <c r="U72" s="156"/>
      <c r="V72" s="156"/>
      <c r="W72" s="156"/>
      <c r="X72" s="156"/>
    </row>
    <row r="73" spans="2:36" ht="21.95" customHeight="1">
      <c r="B73" s="105"/>
      <c r="C73" s="93"/>
      <c r="D73" s="93"/>
      <c r="E73" s="93"/>
      <c r="F73" s="93"/>
      <c r="G73" s="93"/>
      <c r="H73" s="93"/>
      <c r="I73" s="93"/>
      <c r="J73" s="156"/>
      <c r="K73" s="156"/>
      <c r="L73" s="156"/>
      <c r="M73" s="156"/>
      <c r="N73" s="155"/>
      <c r="O73" s="155"/>
      <c r="P73" s="155"/>
      <c r="Q73" s="155"/>
      <c r="R73" s="155"/>
      <c r="S73" s="156"/>
      <c r="T73" s="156"/>
      <c r="U73" s="156"/>
      <c r="V73" s="156"/>
      <c r="W73" s="156"/>
      <c r="X73" s="156"/>
    </row>
    <row r="74" spans="2:36" ht="21.95" customHeight="1">
      <c r="B74" s="105"/>
      <c r="C74" s="93"/>
      <c r="D74" s="93"/>
      <c r="E74" s="93"/>
      <c r="F74" s="93"/>
      <c r="G74" s="93"/>
      <c r="H74" s="93"/>
      <c r="I74" s="93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</row>
    <row r="75" spans="2:36" ht="20.100000000000001" customHeight="1">
      <c r="B75" s="105"/>
      <c r="C75" s="93"/>
      <c r="D75" s="93"/>
      <c r="E75" s="93"/>
      <c r="F75" s="93"/>
      <c r="G75" s="93"/>
      <c r="H75" s="93"/>
      <c r="I75" s="93"/>
      <c r="J75" s="156"/>
      <c r="K75" s="156"/>
      <c r="L75" s="156"/>
      <c r="M75" s="156"/>
      <c r="N75" s="156"/>
      <c r="O75" s="156"/>
      <c r="P75" s="156"/>
      <c r="Q75" s="156"/>
    </row>
    <row r="76" spans="2:36" ht="20.100000000000001" customHeight="1">
      <c r="B76" s="105"/>
      <c r="C76" s="93"/>
      <c r="D76" s="93"/>
      <c r="E76" s="93"/>
      <c r="F76" s="93"/>
      <c r="G76" s="93"/>
      <c r="H76" s="93"/>
      <c r="I76" s="93"/>
      <c r="J76" s="156"/>
      <c r="K76" s="156"/>
      <c r="L76" s="156"/>
      <c r="M76" s="156"/>
      <c r="N76" s="156"/>
      <c r="O76" s="156"/>
      <c r="P76" s="156"/>
      <c r="Q76" s="156"/>
    </row>
    <row r="77" spans="2:36" ht="20.100000000000001" customHeight="1"/>
    <row r="78" spans="2:36" ht="20.100000000000001" customHeight="1"/>
    <row r="79" spans="2:36" ht="20.100000000000001" customHeight="1"/>
    <row r="80" spans="2:36" ht="20.100000000000001" customHeight="1"/>
    <row r="81" spans="3:4" ht="20.100000000000001" customHeight="1"/>
    <row r="82" spans="3:4" ht="20.100000000000001" customHeight="1"/>
    <row r="86" spans="3:4">
      <c r="C86" s="158"/>
    </row>
    <row r="87" spans="3:4">
      <c r="C87" s="159"/>
    </row>
    <row r="88" spans="3:4">
      <c r="D88" s="152"/>
    </row>
    <row r="89" spans="3:4">
      <c r="D89" s="160"/>
    </row>
    <row r="90" spans="3:4">
      <c r="D90" s="160"/>
    </row>
    <row r="129" spans="3:4">
      <c r="C129">
        <v>9590</v>
      </c>
      <c r="D129">
        <f>9*140</f>
        <v>1260</v>
      </c>
    </row>
    <row r="130" spans="3:4">
      <c r="C130">
        <v>9590</v>
      </c>
      <c r="D130">
        <v>1260</v>
      </c>
    </row>
    <row r="131" spans="3:4">
      <c r="C131">
        <v>9590</v>
      </c>
      <c r="D131">
        <v>1260</v>
      </c>
    </row>
    <row r="132" spans="3:4">
      <c r="C132">
        <f>+C129+C130+C131</f>
        <v>28770</v>
      </c>
      <c r="D132">
        <f>+D129+D130+D131</f>
        <v>3780</v>
      </c>
    </row>
    <row r="133" spans="3:4">
      <c r="C133">
        <f>+C132+D132</f>
        <v>32550</v>
      </c>
      <c r="D133">
        <f>+C133-5500</f>
        <v>27050</v>
      </c>
    </row>
  </sheetData>
  <mergeCells count="41">
    <mergeCell ref="I63:I64"/>
    <mergeCell ref="K24:L24"/>
    <mergeCell ref="C25:D25"/>
    <mergeCell ref="E25:F25"/>
    <mergeCell ref="G25:H25"/>
    <mergeCell ref="I25:J25"/>
    <mergeCell ref="K25:L25"/>
    <mergeCell ref="I23:J23"/>
    <mergeCell ref="B24:B28"/>
    <mergeCell ref="C24:D24"/>
    <mergeCell ref="E24:F24"/>
    <mergeCell ref="G24:H24"/>
    <mergeCell ref="I24:J24"/>
    <mergeCell ref="W5:X5"/>
    <mergeCell ref="Y5:Z5"/>
    <mergeCell ref="AA5:AB5"/>
    <mergeCell ref="AC5:AD5"/>
    <mergeCell ref="AJ8:AM8"/>
    <mergeCell ref="AN8:AQ8"/>
    <mergeCell ref="K5:L5"/>
    <mergeCell ref="M5:N5"/>
    <mergeCell ref="O5:P5"/>
    <mergeCell ref="Q5:R5"/>
    <mergeCell ref="S5:T5"/>
    <mergeCell ref="U5:V5"/>
    <mergeCell ref="Q4:T4"/>
    <mergeCell ref="U4:V4"/>
    <mergeCell ref="W4:X4"/>
    <mergeCell ref="Y4:Z4"/>
    <mergeCell ref="AA4:AB4"/>
    <mergeCell ref="AC4:AD4"/>
    <mergeCell ref="A1:A43"/>
    <mergeCell ref="B4:B8"/>
    <mergeCell ref="C4:F4"/>
    <mergeCell ref="G4:J4"/>
    <mergeCell ref="K4:N4"/>
    <mergeCell ref="O4:P4"/>
    <mergeCell ref="C5:D5"/>
    <mergeCell ref="E5:F5"/>
    <mergeCell ref="G5:H5"/>
    <mergeCell ref="I5:J5"/>
  </mergeCells>
  <printOptions horizontalCentered="1"/>
  <pageMargins left="0.15748031496062992" right="3.937007874015748E-2" top="0.78740157480314965" bottom="0.31496062992125984" header="0.19685039370078741" footer="0.15748031496062992"/>
  <pageSetup paperSize="9" scale="4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Q133"/>
  <sheetViews>
    <sheetView view="pageBreakPreview" topLeftCell="N22" zoomScale="75" zoomScaleNormal="100" workbookViewId="0">
      <selection activeCell="AJ31" sqref="AJ31"/>
    </sheetView>
  </sheetViews>
  <sheetFormatPr defaultColWidth="10.28515625" defaultRowHeight="12.75"/>
  <cols>
    <col min="1" max="1" width="7.42578125" customWidth="1"/>
    <col min="2" max="2" width="4.28515625" customWidth="1"/>
    <col min="3" max="3" width="10.85546875" customWidth="1"/>
    <col min="4" max="4" width="9.7109375" customWidth="1"/>
    <col min="5" max="5" width="11.7109375" customWidth="1"/>
    <col min="6" max="6" width="10.7109375" customWidth="1"/>
    <col min="7" max="7" width="11.140625" customWidth="1"/>
    <col min="8" max="8" width="10.28515625" customWidth="1"/>
    <col min="9" max="9" width="11.140625" customWidth="1"/>
    <col min="10" max="10" width="10.5703125" customWidth="1"/>
    <col min="11" max="11" width="11.5703125" customWidth="1"/>
    <col min="12" max="12" width="10.85546875" customWidth="1"/>
    <col min="13" max="13" width="10.42578125" customWidth="1"/>
    <col min="14" max="14" width="10.5703125" customWidth="1"/>
    <col min="15" max="15" width="11.42578125" customWidth="1"/>
    <col min="16" max="16" width="10.5703125" customWidth="1"/>
    <col min="17" max="17" width="10.7109375" customWidth="1"/>
    <col min="18" max="18" width="10.28515625" customWidth="1"/>
    <col min="19" max="20" width="10.7109375" customWidth="1"/>
    <col min="21" max="21" width="11.7109375" customWidth="1"/>
    <col min="22" max="22" width="11" customWidth="1"/>
    <col min="23" max="24" width="10.5703125" customWidth="1"/>
    <col min="25" max="27" width="10.28515625" customWidth="1"/>
    <col min="28" max="28" width="9.7109375" customWidth="1"/>
    <col min="29" max="29" width="10.7109375" customWidth="1"/>
    <col min="30" max="30" width="10" customWidth="1"/>
    <col min="31" max="32" width="9.85546875" customWidth="1"/>
    <col min="33" max="33" width="10.28515625" customWidth="1"/>
    <col min="34" max="34" width="6.140625" customWidth="1"/>
    <col min="35" max="35" width="56.5703125" customWidth="1"/>
    <col min="36" max="36" width="11.140625" customWidth="1"/>
  </cols>
  <sheetData>
    <row r="1" spans="1:43" ht="30" customHeight="1">
      <c r="A1" s="1">
        <v>59</v>
      </c>
      <c r="B1" s="2" t="s">
        <v>59</v>
      </c>
      <c r="C1" s="3"/>
      <c r="D1" s="3"/>
      <c r="E1" s="3"/>
      <c r="F1" s="3"/>
      <c r="G1" s="3"/>
      <c r="H1" s="3"/>
      <c r="I1" s="3"/>
      <c r="J1" s="3"/>
      <c r="K1" s="3"/>
      <c r="L1" s="3"/>
      <c r="M1" s="2" t="str">
        <f>+[2]NUTS3!$A$101</f>
        <v>Celkem ČR</v>
      </c>
      <c r="P1" s="4"/>
      <c r="R1" s="5"/>
      <c r="S1" s="6"/>
      <c r="T1" s="7"/>
      <c r="U1" s="7"/>
      <c r="V1" s="8"/>
      <c r="W1" s="9"/>
      <c r="X1" s="9"/>
      <c r="Y1" s="9"/>
      <c r="Z1" s="161"/>
      <c r="AA1" s="9"/>
      <c r="AB1" s="3"/>
      <c r="AC1" s="3"/>
      <c r="AD1" s="3"/>
      <c r="AI1" s="10"/>
      <c r="AJ1" s="11"/>
      <c r="AK1" s="11"/>
      <c r="AL1" s="11"/>
    </row>
    <row r="2" spans="1:43" ht="13.5" customHeight="1">
      <c r="A2" s="1"/>
      <c r="B2" s="4"/>
      <c r="D2" s="12"/>
      <c r="E2" s="13"/>
      <c r="F2" s="12"/>
      <c r="G2" s="12"/>
      <c r="H2" s="12"/>
      <c r="I2" s="12"/>
      <c r="J2" s="12"/>
      <c r="K2" s="12"/>
      <c r="L2" s="12"/>
      <c r="M2" s="12"/>
      <c r="P2" s="12"/>
      <c r="Q2" s="162"/>
      <c r="R2" s="5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I2" s="11"/>
      <c r="AJ2" s="11"/>
      <c r="AK2" s="11"/>
      <c r="AL2" s="11"/>
    </row>
    <row r="3" spans="1:43" ht="15.75" customHeight="1" thickBot="1">
      <c r="A3" s="1"/>
      <c r="B3" s="3"/>
      <c r="F3" s="5"/>
      <c r="G3" s="163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G3" s="14"/>
      <c r="AI3" s="15"/>
      <c r="AJ3" s="16"/>
      <c r="AK3" s="17"/>
      <c r="AL3" s="11"/>
    </row>
    <row r="4" spans="1:43" s="31" customFormat="1" ht="81.75" customHeight="1" thickTop="1">
      <c r="A4" s="1"/>
      <c r="B4" s="18" t="s">
        <v>1</v>
      </c>
      <c r="C4" s="19" t="s">
        <v>2</v>
      </c>
      <c r="D4" s="19"/>
      <c r="E4" s="19"/>
      <c r="F4" s="20"/>
      <c r="G4" s="21" t="s">
        <v>40</v>
      </c>
      <c r="H4" s="19"/>
      <c r="I4" s="19"/>
      <c r="J4" s="20"/>
      <c r="K4" s="21" t="s">
        <v>41</v>
      </c>
      <c r="L4" s="19"/>
      <c r="M4" s="19"/>
      <c r="N4" s="20"/>
      <c r="O4" s="21" t="s">
        <v>42</v>
      </c>
      <c r="P4" s="20"/>
      <c r="Q4" s="22" t="s">
        <v>43</v>
      </c>
      <c r="R4" s="23"/>
      <c r="S4" s="23"/>
      <c r="T4" s="24"/>
      <c r="U4" s="19" t="s">
        <v>8</v>
      </c>
      <c r="V4" s="19"/>
      <c r="W4" s="21" t="s">
        <v>44</v>
      </c>
      <c r="X4" s="20"/>
      <c r="Y4" s="21" t="s">
        <v>45</v>
      </c>
      <c r="Z4" s="20"/>
      <c r="AA4" s="21" t="s">
        <v>10</v>
      </c>
      <c r="AB4" s="20"/>
      <c r="AC4" s="19" t="s">
        <v>46</v>
      </c>
      <c r="AD4" s="25"/>
      <c r="AG4" s="26"/>
      <c r="AH4" s="26"/>
      <c r="AI4" s="27"/>
      <c r="AJ4" s="28"/>
      <c r="AK4" s="29"/>
      <c r="AL4" s="30"/>
    </row>
    <row r="5" spans="1:43" ht="24" customHeight="1" thickBot="1">
      <c r="A5" s="1"/>
      <c r="B5" s="32"/>
      <c r="C5" s="33" t="s">
        <v>12</v>
      </c>
      <c r="D5" s="34"/>
      <c r="E5" s="35" t="s">
        <v>13</v>
      </c>
      <c r="F5" s="36"/>
      <c r="G5" s="37" t="s">
        <v>12</v>
      </c>
      <c r="H5" s="34"/>
      <c r="I5" s="35" t="s">
        <v>13</v>
      </c>
      <c r="J5" s="36"/>
      <c r="K5" s="37" t="s">
        <v>12</v>
      </c>
      <c r="L5" s="34"/>
      <c r="M5" s="35" t="s">
        <v>13</v>
      </c>
      <c r="N5" s="36"/>
      <c r="O5" s="37" t="s">
        <v>13</v>
      </c>
      <c r="P5" s="36"/>
      <c r="Q5" s="37" t="s">
        <v>12</v>
      </c>
      <c r="R5" s="34"/>
      <c r="S5" s="35" t="s">
        <v>13</v>
      </c>
      <c r="T5" s="36"/>
      <c r="U5" s="38" t="s">
        <v>13</v>
      </c>
      <c r="V5" s="38"/>
      <c r="W5" s="37" t="s">
        <v>14</v>
      </c>
      <c r="X5" s="36"/>
      <c r="Y5" s="37" t="s">
        <v>47</v>
      </c>
      <c r="Z5" s="36"/>
      <c r="AA5" s="37" t="s">
        <v>14</v>
      </c>
      <c r="AB5" s="36"/>
      <c r="AC5" s="38" t="s">
        <v>48</v>
      </c>
      <c r="AD5" s="39"/>
      <c r="AG5" s="40"/>
      <c r="AH5" s="41"/>
      <c r="AI5" s="40"/>
      <c r="AJ5" s="42"/>
      <c r="AK5" s="43"/>
    </row>
    <row r="6" spans="1:43" ht="21.95" customHeight="1">
      <c r="A6" s="1"/>
      <c r="B6" s="32"/>
      <c r="C6" s="44" t="s">
        <v>15</v>
      </c>
      <c r="D6" s="45" t="s">
        <v>16</v>
      </c>
      <c r="E6" s="45" t="s">
        <v>15</v>
      </c>
      <c r="F6" s="46" t="s">
        <v>16</v>
      </c>
      <c r="G6" s="44" t="s">
        <v>15</v>
      </c>
      <c r="H6" s="45" t="s">
        <v>16</v>
      </c>
      <c r="I6" s="45" t="s">
        <v>15</v>
      </c>
      <c r="J6" s="47" t="s">
        <v>16</v>
      </c>
      <c r="K6" s="48" t="s">
        <v>15</v>
      </c>
      <c r="L6" s="45" t="s">
        <v>16</v>
      </c>
      <c r="M6" s="45" t="s">
        <v>15</v>
      </c>
      <c r="N6" s="49" t="s">
        <v>16</v>
      </c>
      <c r="O6" s="50" t="s">
        <v>15</v>
      </c>
      <c r="P6" s="47" t="s">
        <v>16</v>
      </c>
      <c r="Q6" s="164" t="s">
        <v>15</v>
      </c>
      <c r="R6" s="45" t="s">
        <v>16</v>
      </c>
      <c r="S6" s="45" t="s">
        <v>15</v>
      </c>
      <c r="T6" s="49" t="s">
        <v>16</v>
      </c>
      <c r="U6" s="53" t="s">
        <v>15</v>
      </c>
      <c r="V6" s="51" t="s">
        <v>16</v>
      </c>
      <c r="W6" s="54" t="s">
        <v>15</v>
      </c>
      <c r="X6" s="47" t="s">
        <v>16</v>
      </c>
      <c r="Y6" s="54" t="s">
        <v>15</v>
      </c>
      <c r="Z6" s="47" t="s">
        <v>16</v>
      </c>
      <c r="AA6" s="54" t="s">
        <v>15</v>
      </c>
      <c r="AB6" s="47" t="s">
        <v>16</v>
      </c>
      <c r="AC6" s="53" t="s">
        <v>15</v>
      </c>
      <c r="AD6" s="55" t="s">
        <v>16</v>
      </c>
      <c r="AG6" s="40"/>
      <c r="AH6" s="41"/>
      <c r="AI6" s="40"/>
      <c r="AJ6" s="42"/>
      <c r="AK6" s="43"/>
    </row>
    <row r="7" spans="1:43" ht="21.95" customHeight="1">
      <c r="A7" s="1"/>
      <c r="B7" s="32"/>
      <c r="C7" s="44" t="s">
        <v>17</v>
      </c>
      <c r="D7" s="45" t="s">
        <v>18</v>
      </c>
      <c r="E7" s="45" t="s">
        <v>17</v>
      </c>
      <c r="F7" s="46" t="s">
        <v>18</v>
      </c>
      <c r="G7" s="44" t="s">
        <v>17</v>
      </c>
      <c r="H7" s="45" t="s">
        <v>18</v>
      </c>
      <c r="I7" s="45" t="s">
        <v>17</v>
      </c>
      <c r="J7" s="47" t="s">
        <v>18</v>
      </c>
      <c r="K7" s="48" t="s">
        <v>17</v>
      </c>
      <c r="L7" s="45" t="s">
        <v>18</v>
      </c>
      <c r="M7" s="45" t="s">
        <v>17</v>
      </c>
      <c r="N7" s="49" t="s">
        <v>18</v>
      </c>
      <c r="O7" s="50" t="s">
        <v>17</v>
      </c>
      <c r="P7" s="47" t="s">
        <v>18</v>
      </c>
      <c r="Q7" s="164" t="s">
        <v>17</v>
      </c>
      <c r="R7" s="45" t="s">
        <v>18</v>
      </c>
      <c r="S7" s="45" t="s">
        <v>17</v>
      </c>
      <c r="T7" s="49" t="s">
        <v>18</v>
      </c>
      <c r="U7" s="53" t="s">
        <v>17</v>
      </c>
      <c r="V7" s="51" t="s">
        <v>18</v>
      </c>
      <c r="W7" s="54" t="s">
        <v>17</v>
      </c>
      <c r="X7" s="47" t="s">
        <v>18</v>
      </c>
      <c r="Y7" s="54" t="s">
        <v>17</v>
      </c>
      <c r="Z7" s="47" t="s">
        <v>18</v>
      </c>
      <c r="AA7" s="54" t="s">
        <v>17</v>
      </c>
      <c r="AB7" s="47" t="s">
        <v>18</v>
      </c>
      <c r="AC7" s="53" t="s">
        <v>17</v>
      </c>
      <c r="AD7" s="55" t="s">
        <v>18</v>
      </c>
      <c r="AG7" s="40"/>
      <c r="AH7" s="41"/>
      <c r="AI7" s="40"/>
      <c r="AJ7" s="42"/>
      <c r="AK7" s="43"/>
    </row>
    <row r="8" spans="1:43" ht="21.95" customHeight="1" thickBot="1">
      <c r="A8" s="1"/>
      <c r="B8" s="56"/>
      <c r="C8" s="57" t="s">
        <v>19</v>
      </c>
      <c r="D8" s="58" t="s">
        <v>20</v>
      </c>
      <c r="E8" s="58" t="s">
        <v>19</v>
      </c>
      <c r="F8" s="59" t="s">
        <v>20</v>
      </c>
      <c r="G8" s="57" t="s">
        <v>19</v>
      </c>
      <c r="H8" s="58" t="s">
        <v>20</v>
      </c>
      <c r="I8" s="58" t="s">
        <v>19</v>
      </c>
      <c r="J8" s="60" t="s">
        <v>20</v>
      </c>
      <c r="K8" s="61" t="s">
        <v>19</v>
      </c>
      <c r="L8" s="58" t="s">
        <v>20</v>
      </c>
      <c r="M8" s="58" t="s">
        <v>19</v>
      </c>
      <c r="N8" s="62" t="s">
        <v>20</v>
      </c>
      <c r="O8" s="63" t="s">
        <v>19</v>
      </c>
      <c r="P8" s="60" t="s">
        <v>20</v>
      </c>
      <c r="Q8" s="165" t="s">
        <v>19</v>
      </c>
      <c r="R8" s="58" t="s">
        <v>20</v>
      </c>
      <c r="S8" s="58" t="s">
        <v>19</v>
      </c>
      <c r="T8" s="62" t="s">
        <v>20</v>
      </c>
      <c r="U8" s="66" t="s">
        <v>19</v>
      </c>
      <c r="V8" s="64" t="s">
        <v>20</v>
      </c>
      <c r="W8" s="67" t="s">
        <v>19</v>
      </c>
      <c r="X8" s="60" t="s">
        <v>20</v>
      </c>
      <c r="Y8" s="67" t="s">
        <v>19</v>
      </c>
      <c r="Z8" s="60" t="s">
        <v>20</v>
      </c>
      <c r="AA8" s="67" t="s">
        <v>19</v>
      </c>
      <c r="AB8" s="60" t="s">
        <v>20</v>
      </c>
      <c r="AC8" s="66" t="s">
        <v>19</v>
      </c>
      <c r="AD8" s="68" t="s">
        <v>20</v>
      </c>
      <c r="AG8" s="40"/>
      <c r="AH8" s="41"/>
      <c r="AI8" s="40"/>
      <c r="AJ8" s="166" t="s">
        <v>49</v>
      </c>
      <c r="AK8" s="166"/>
      <c r="AL8" s="166"/>
      <c r="AM8" s="166"/>
      <c r="AN8" s="167" t="s">
        <v>50</v>
      </c>
      <c r="AO8" s="167"/>
      <c r="AP8" s="167"/>
      <c r="AQ8" s="167"/>
    </row>
    <row r="9" spans="1:43" ht="25.5" customHeight="1" thickTop="1">
      <c r="A9" s="1"/>
      <c r="B9" s="69">
        <v>1</v>
      </c>
      <c r="C9" s="70">
        <f>+[55]NUTS3!$E$101</f>
        <v>2665</v>
      </c>
      <c r="D9" s="71">
        <f>+[55]NUTS3!$F$101</f>
        <v>149</v>
      </c>
      <c r="E9" s="71">
        <f>+[55]NUTS3!$J$101</f>
        <v>2435</v>
      </c>
      <c r="F9" s="72">
        <f>+[55]NUTS3!$K$101</f>
        <v>94</v>
      </c>
      <c r="G9" s="73">
        <f>+[55]NUTS3!$T$101</f>
        <v>312</v>
      </c>
      <c r="H9" s="71">
        <f>+[55]NUTS3!$U$101</f>
        <v>25</v>
      </c>
      <c r="I9" s="71">
        <f>+[55]NUTS3!$Y$101</f>
        <v>267</v>
      </c>
      <c r="J9" s="74">
        <f>+[55]NUTS3!$Z$101</f>
        <v>37</v>
      </c>
      <c r="K9" s="75">
        <f>+[55]NUTS3!$AI$101</f>
        <v>2493</v>
      </c>
      <c r="L9" s="71">
        <f>+[55]NUTS3!$AJ$101</f>
        <v>67</v>
      </c>
      <c r="M9" s="71">
        <f>+[55]NUTS3!$AN$101</f>
        <v>2462</v>
      </c>
      <c r="N9" s="75">
        <f>+[55]NUTS3!$AO$101</f>
        <v>78</v>
      </c>
      <c r="O9" s="76">
        <f>+[55]NUTS3!$AX$101</f>
        <v>2759</v>
      </c>
      <c r="P9" s="75">
        <f>+[55]NUTS3!$AY$101</f>
        <v>64</v>
      </c>
      <c r="Q9" s="73">
        <f>+[55]NUTS3!$BH$101+[55]NUTS3!$BW$101</f>
        <v>1415</v>
      </c>
      <c r="R9" s="71">
        <f>+[55]NUTS3!$BI$101+[55]NUTS3!$BX$101</f>
        <v>10</v>
      </c>
      <c r="S9" s="71">
        <f>+[55]NUTS3!$BM$101+[55]NUTS3!$CB$101</f>
        <v>1250</v>
      </c>
      <c r="T9" s="77">
        <f>+[55]NUTS3!$BN$101+[55]NUTS3!$CC$101</f>
        <v>74</v>
      </c>
      <c r="U9" s="72">
        <f>+[55]NUTS3!$CL$101</f>
        <v>64</v>
      </c>
      <c r="V9" s="75">
        <f>+[55]NUTS3!$CM$101</f>
        <v>1</v>
      </c>
      <c r="W9" s="76">
        <f>+[55]NUTS3!$CQ$101</f>
        <v>202</v>
      </c>
      <c r="X9" s="77">
        <f>+[55]NUTS3!$CR$101</f>
        <v>47</v>
      </c>
      <c r="Y9" s="85">
        <f>+[55]NUTS3!$FS$101</f>
        <v>30772</v>
      </c>
      <c r="Z9" s="83">
        <f>+[55]NUTS3!$FT$101</f>
        <v>494</v>
      </c>
      <c r="AA9" s="76">
        <f>+[55]NUTS3!$DP$101</f>
        <v>10</v>
      </c>
      <c r="AB9" s="74">
        <f>+[55]NUTS3!$DQ$101</f>
        <v>0</v>
      </c>
      <c r="AC9" s="168">
        <f>+[55]NUTS3!$DF$101</f>
        <v>67</v>
      </c>
      <c r="AD9" s="169">
        <f>+[55]NUTS3!$DG$101</f>
        <v>19</v>
      </c>
      <c r="AG9" s="40"/>
      <c r="AH9" s="40"/>
      <c r="AI9" s="40"/>
      <c r="AJ9" s="42">
        <v>1907</v>
      </c>
      <c r="AK9" s="42">
        <v>0</v>
      </c>
      <c r="AL9" s="42">
        <v>1614</v>
      </c>
      <c r="AM9" s="42">
        <v>54</v>
      </c>
      <c r="AN9" s="156">
        <f>+Q9-AJ9</f>
        <v>-492</v>
      </c>
      <c r="AO9" s="156">
        <f t="shared" ref="AO9:AQ20" si="0">+R9-AK9</f>
        <v>10</v>
      </c>
      <c r="AP9" s="156">
        <f t="shared" si="0"/>
        <v>-364</v>
      </c>
      <c r="AQ9" s="156">
        <f t="shared" si="0"/>
        <v>20</v>
      </c>
    </row>
    <row r="10" spans="1:43" ht="25.5" customHeight="1">
      <c r="A10" s="1"/>
      <c r="B10" s="69">
        <v>2</v>
      </c>
      <c r="C10" s="79">
        <f>+[56]NUTS3!$E$101</f>
        <v>2645</v>
      </c>
      <c r="D10" s="80">
        <f>+[56]NUTS3!$F$101</f>
        <v>618</v>
      </c>
      <c r="E10" s="80">
        <f>+[56]NUTS3!$J$101</f>
        <v>2231</v>
      </c>
      <c r="F10" s="81">
        <f>+[56]NUTS3!$K$101</f>
        <v>378</v>
      </c>
      <c r="G10" s="82">
        <f>+[56]NUTS3!$T$101</f>
        <v>280</v>
      </c>
      <c r="H10" s="80">
        <f>+[56]NUTS3!$U$101</f>
        <v>29</v>
      </c>
      <c r="I10" s="80">
        <f>+[56]NUTS3!$Y$101</f>
        <v>235</v>
      </c>
      <c r="J10" s="83">
        <f>+[56]NUTS3!$Z$101</f>
        <v>40</v>
      </c>
      <c r="K10" s="84">
        <f>+[56]NUTS3!$AI$101</f>
        <v>2479</v>
      </c>
      <c r="L10" s="80">
        <f>+[56]NUTS3!$AJ$101</f>
        <v>272</v>
      </c>
      <c r="M10" s="80">
        <f>+[56]NUTS3!$AN$101</f>
        <v>2450</v>
      </c>
      <c r="N10" s="84">
        <f>+[56]NUTS3!$AO$101</f>
        <v>281</v>
      </c>
      <c r="O10" s="85">
        <f>+[56]NUTS3!$AX$101</f>
        <v>2746</v>
      </c>
      <c r="P10" s="84">
        <f>+[56]NUTS3!$AY$101</f>
        <v>176</v>
      </c>
      <c r="Q10" s="82">
        <f>+[56]NUTS3!$BH$101+[56]NUTS3!$BW$101</f>
        <v>1338</v>
      </c>
      <c r="R10" s="80">
        <f>+[56]NUTS3!$BI$101+[56]NUTS3!$BX$101</f>
        <v>54</v>
      </c>
      <c r="S10" s="80">
        <f>+[56]NUTS3!$BM$101+[56]NUTS3!$CB$101</f>
        <v>1172</v>
      </c>
      <c r="T10" s="86">
        <f>+[56]NUTS3!$BN$101+[56]NUTS3!$CC$101</f>
        <v>96</v>
      </c>
      <c r="U10" s="81">
        <f>+[56]NUTS3!$CL$101</f>
        <v>64</v>
      </c>
      <c r="V10" s="84">
        <f>+[56]NUTS3!$CM$101</f>
        <v>3</v>
      </c>
      <c r="W10" s="85">
        <f>+[56]NUTS3!$CQ$101</f>
        <v>203</v>
      </c>
      <c r="X10" s="86">
        <f>+[56]NUTS3!$CR$101</f>
        <v>65</v>
      </c>
      <c r="Y10" s="85">
        <f>+[56]NUTS3!$FS$101</f>
        <v>31121</v>
      </c>
      <c r="Z10" s="83">
        <f>+[56]NUTS3!$FT$101</f>
        <v>872</v>
      </c>
      <c r="AA10" s="85">
        <f>+[56]NUTS3!$DP$101</f>
        <v>10</v>
      </c>
      <c r="AB10" s="83">
        <f>+[56]NUTS3!$DQ$101</f>
        <v>0</v>
      </c>
      <c r="AC10" s="121">
        <f>+[56]NUTS3!$DF$101</f>
        <v>70</v>
      </c>
      <c r="AD10" s="169">
        <f>+[56]NUTS3!$DG$101</f>
        <v>27</v>
      </c>
      <c r="AG10" s="40"/>
      <c r="AH10" s="40"/>
      <c r="AI10" s="40"/>
      <c r="AJ10" s="42">
        <v>1881</v>
      </c>
      <c r="AK10" s="42">
        <v>32</v>
      </c>
      <c r="AL10" s="42">
        <v>1591</v>
      </c>
      <c r="AM10" s="42">
        <v>88</v>
      </c>
      <c r="AN10" s="156">
        <f t="shared" ref="AN10:AN20" si="1">+Q10-AJ10</f>
        <v>-543</v>
      </c>
      <c r="AO10" s="156">
        <f t="shared" si="0"/>
        <v>22</v>
      </c>
      <c r="AP10" s="156">
        <f t="shared" si="0"/>
        <v>-419</v>
      </c>
      <c r="AQ10" s="156">
        <f t="shared" si="0"/>
        <v>8</v>
      </c>
    </row>
    <row r="11" spans="1:43" ht="25.5" customHeight="1">
      <c r="A11" s="1"/>
      <c r="B11" s="69">
        <v>3</v>
      </c>
      <c r="C11" s="79">
        <f>+[57]NUTS3!$E$101</f>
        <v>2337</v>
      </c>
      <c r="D11" s="80">
        <f>+[57]NUTS3!$F$101</f>
        <v>1023</v>
      </c>
      <c r="E11" s="80">
        <f>+[57]NUTS3!$J$101</f>
        <v>2048</v>
      </c>
      <c r="F11" s="81">
        <f>+[57]NUTS3!$K$101</f>
        <v>851</v>
      </c>
      <c r="G11" s="82">
        <f>+[57]NUTS3!$T$101</f>
        <v>262</v>
      </c>
      <c r="H11" s="80">
        <f>+[57]NUTS3!$U$101</f>
        <v>37</v>
      </c>
      <c r="I11" s="80">
        <f>+[57]NUTS3!$Y$101</f>
        <v>218</v>
      </c>
      <c r="J11" s="83">
        <f>+[57]NUTS3!$Z$101</f>
        <v>50</v>
      </c>
      <c r="K11" s="84">
        <f>+[57]NUTS3!$AI$101</f>
        <v>2144</v>
      </c>
      <c r="L11" s="80">
        <f>+[57]NUTS3!$AJ$101</f>
        <v>386</v>
      </c>
      <c r="M11" s="80">
        <f>+[57]NUTS3!$AN$101</f>
        <v>2142</v>
      </c>
      <c r="N11" s="84">
        <f>+[57]NUTS3!$AO$101</f>
        <v>398</v>
      </c>
      <c r="O11" s="85">
        <f>+[57]NUTS3!$AX$101</f>
        <v>2700</v>
      </c>
      <c r="P11" s="84">
        <f>+[57]NUTS3!$AY$101</f>
        <v>395</v>
      </c>
      <c r="Q11" s="82">
        <f>+[57]NUTS3!$BH$101+[57]NUTS3!$BW$101</f>
        <v>1235</v>
      </c>
      <c r="R11" s="80">
        <f>+[57]NUTS3!$BI$101+[57]NUTS3!$BX$101</f>
        <v>80</v>
      </c>
      <c r="S11" s="80">
        <f>+[57]NUTS3!$BM$101+[57]NUTS3!$CB$101</f>
        <v>1095</v>
      </c>
      <c r="T11" s="86">
        <f>+[57]NUTS3!$BN$101+[57]NUTS3!$CC$101</f>
        <v>148</v>
      </c>
      <c r="U11" s="81">
        <f>+[57]NUTS3!$CL$101</f>
        <v>61</v>
      </c>
      <c r="V11" s="84">
        <f>+[57]NUTS3!$CM$101</f>
        <v>8</v>
      </c>
      <c r="W11" s="85">
        <f>+[57]NUTS3!$CQ$101</f>
        <v>195</v>
      </c>
      <c r="X11" s="86">
        <f>+[57]NUTS3!$CR$101</f>
        <v>74</v>
      </c>
      <c r="Y11" s="85">
        <f>+[57]NUTS3!$FS$101</f>
        <v>31498</v>
      </c>
      <c r="Z11" s="83">
        <f>+[57]NUTS3!$FT$101</f>
        <v>1267</v>
      </c>
      <c r="AA11" s="85">
        <f>+[57]NUTS3!$DP$101</f>
        <v>17</v>
      </c>
      <c r="AB11" s="83">
        <f>+[57]NUTS3!$DQ$101</f>
        <v>7</v>
      </c>
      <c r="AC11" s="121">
        <f>+[57]NUTS3!$DF$101</f>
        <v>64</v>
      </c>
      <c r="AD11" s="169">
        <f>+[57]NUTS3!$DG$101</f>
        <v>36</v>
      </c>
      <c r="AG11" s="40"/>
      <c r="AH11" s="41"/>
      <c r="AI11" s="40"/>
      <c r="AJ11" s="42">
        <v>1857</v>
      </c>
      <c r="AK11" s="42">
        <v>84</v>
      </c>
      <c r="AL11" s="42">
        <v>1577</v>
      </c>
      <c r="AM11" s="42">
        <v>158</v>
      </c>
      <c r="AN11" s="156">
        <f t="shared" si="1"/>
        <v>-622</v>
      </c>
      <c r="AO11" s="156">
        <f t="shared" si="0"/>
        <v>-4</v>
      </c>
      <c r="AP11" s="156">
        <f t="shared" si="0"/>
        <v>-482</v>
      </c>
      <c r="AQ11" s="156">
        <f t="shared" si="0"/>
        <v>-10</v>
      </c>
    </row>
    <row r="12" spans="1:43" ht="25.5" customHeight="1">
      <c r="A12" s="1"/>
      <c r="B12" s="69">
        <v>4</v>
      </c>
      <c r="C12" s="79">
        <f>+[58]NUTS3!$E$101</f>
        <v>2826</v>
      </c>
      <c r="D12" s="80">
        <f>+[58]NUTS3!$F$101</f>
        <v>1934</v>
      </c>
      <c r="E12" s="80">
        <f>+[58]NUTS3!$J$101</f>
        <v>2416</v>
      </c>
      <c r="F12" s="81">
        <f>+[58]NUTS3!$K$101</f>
        <v>1655</v>
      </c>
      <c r="G12" s="82">
        <f>+[58]NUTS3!$T$101</f>
        <v>264</v>
      </c>
      <c r="H12" s="80">
        <f>+[58]NUTS3!$U$101</f>
        <v>50</v>
      </c>
      <c r="I12" s="80">
        <f>+[58]NUTS3!$Y$101</f>
        <v>224</v>
      </c>
      <c r="J12" s="83">
        <f>+[58]NUTS3!$Z$101</f>
        <v>68</v>
      </c>
      <c r="K12" s="84">
        <f>+[58]NUTS3!$AI$101</f>
        <v>1867</v>
      </c>
      <c r="L12" s="80">
        <f>+[58]NUTS3!$AJ$101</f>
        <v>547</v>
      </c>
      <c r="M12" s="80">
        <f>+[58]NUTS3!$AN$101</f>
        <v>1851</v>
      </c>
      <c r="N12" s="84">
        <f>+[58]NUTS3!$AO$101</f>
        <v>553</v>
      </c>
      <c r="O12" s="85">
        <f>+[58]NUTS3!$AX$101</f>
        <v>2527</v>
      </c>
      <c r="P12" s="84">
        <f>+[58]NUTS3!$AY$101</f>
        <v>591</v>
      </c>
      <c r="Q12" s="82">
        <f>+[58]NUTS3!$BH$101+[58]NUTS3!$BW$101</f>
        <v>1196</v>
      </c>
      <c r="R12" s="80">
        <f>+[58]NUTS3!$BI$101+[58]NUTS3!$BX$101</f>
        <v>157</v>
      </c>
      <c r="S12" s="80">
        <f>+[58]NUTS3!$BM$101+[58]NUTS3!$CB$101</f>
        <v>1040</v>
      </c>
      <c r="T12" s="86">
        <f>+[58]NUTS3!$BN$101+[58]NUTS3!$CC$101</f>
        <v>208</v>
      </c>
      <c r="U12" s="81">
        <f>+[58]NUTS3!$CL$101</f>
        <v>61</v>
      </c>
      <c r="V12" s="84">
        <f>+[58]NUTS3!$CM$101</f>
        <v>12</v>
      </c>
      <c r="W12" s="85">
        <f>+[58]NUTS3!$CQ$101</f>
        <v>200</v>
      </c>
      <c r="X12" s="86">
        <f>+[58]NUTS3!$CR$101</f>
        <v>79</v>
      </c>
      <c r="Y12" s="85">
        <f>+[58]NUTS3!$FS$101</f>
        <v>31966</v>
      </c>
      <c r="Z12" s="83">
        <f>+[58]NUTS3!$FT$101</f>
        <v>1765</v>
      </c>
      <c r="AA12" s="85">
        <f>+[58]NUTS3!$DP$101</f>
        <v>24</v>
      </c>
      <c r="AB12" s="83">
        <f>+[58]NUTS3!$DQ$101</f>
        <v>14</v>
      </c>
      <c r="AC12" s="121">
        <f>+[58]NUTS3!$DF$101</f>
        <v>77</v>
      </c>
      <c r="AD12" s="169">
        <f>+[58]NUTS3!$DG$101</f>
        <v>60</v>
      </c>
      <c r="AG12" s="40"/>
      <c r="AH12" s="40"/>
      <c r="AI12" s="40"/>
      <c r="AJ12" s="42">
        <v>1823</v>
      </c>
      <c r="AK12" s="42">
        <v>146</v>
      </c>
      <c r="AL12" s="42">
        <v>1527</v>
      </c>
      <c r="AM12" s="42">
        <v>219</v>
      </c>
      <c r="AN12" s="156">
        <f t="shared" si="1"/>
        <v>-627</v>
      </c>
      <c r="AO12" s="156">
        <f t="shared" si="0"/>
        <v>11</v>
      </c>
      <c r="AP12" s="156">
        <f t="shared" si="0"/>
        <v>-487</v>
      </c>
      <c r="AQ12" s="156">
        <f t="shared" si="0"/>
        <v>-11</v>
      </c>
    </row>
    <row r="13" spans="1:43" ht="25.5" customHeight="1">
      <c r="A13" s="1"/>
      <c r="B13" s="69">
        <v>5</v>
      </c>
      <c r="C13" s="79">
        <f>+[59]NUTS3!$E$101</f>
        <v>3256</v>
      </c>
      <c r="D13" s="80">
        <f>+[59]NUTS3!$F$101</f>
        <v>2453</v>
      </c>
      <c r="E13" s="80">
        <f>+[59]NUTS3!$J$101</f>
        <v>2990</v>
      </c>
      <c r="F13" s="81">
        <f>+[59]NUTS3!$K$101</f>
        <v>2300</v>
      </c>
      <c r="G13" s="82">
        <f>+[59]NUTS3!$T$101</f>
        <v>286</v>
      </c>
      <c r="H13" s="80">
        <f>+[59]NUTS3!$U$101</f>
        <v>84</v>
      </c>
      <c r="I13" s="80">
        <f>+[59]NUTS3!$Y$101</f>
        <v>241</v>
      </c>
      <c r="J13" s="83">
        <f>+[59]NUTS3!$Z$101</f>
        <v>99</v>
      </c>
      <c r="K13" s="84">
        <f>+[59]NUTS3!$AI$101</f>
        <v>1832</v>
      </c>
      <c r="L13" s="80">
        <f>+[59]NUTS3!$AJ$101</f>
        <v>708</v>
      </c>
      <c r="M13" s="80">
        <f>+[59]NUTS3!$AN$101</f>
        <v>1813</v>
      </c>
      <c r="N13" s="84">
        <f>+[59]NUTS3!$AO$101</f>
        <v>711</v>
      </c>
      <c r="O13" s="85">
        <f>+[59]NUTS3!$AX$101</f>
        <v>2496</v>
      </c>
      <c r="P13" s="84">
        <f>+[59]NUTS3!$AY$101</f>
        <v>805</v>
      </c>
      <c r="Q13" s="82">
        <f>+[59]NUTS3!$BH$101+[59]NUTS3!$BW$101</f>
        <v>1193</v>
      </c>
      <c r="R13" s="80">
        <f>+[59]NUTS3!$BI$101+[59]NUTS3!$BX$101</f>
        <v>221</v>
      </c>
      <c r="S13" s="80">
        <f>+[59]NUTS3!$BM$101+[59]NUTS3!$CB$101</f>
        <v>1055</v>
      </c>
      <c r="T13" s="86">
        <f>+[59]NUTS3!$BN$101+[59]NUTS3!$CC$101</f>
        <v>289</v>
      </c>
      <c r="U13" s="81">
        <f>+[59]NUTS3!$CL$101</f>
        <v>57</v>
      </c>
      <c r="V13" s="84">
        <f>+[59]NUTS3!$CM$101</f>
        <v>12</v>
      </c>
      <c r="W13" s="85">
        <f>+[59]NUTS3!$CQ$101</f>
        <v>201</v>
      </c>
      <c r="X13" s="86">
        <f>+[59]NUTS3!$CR$101</f>
        <v>80</v>
      </c>
      <c r="Y13" s="85">
        <f>+[59]NUTS3!$FS$101</f>
        <v>32426</v>
      </c>
      <c r="Z13" s="83">
        <f>+[59]NUTS3!$FT$101</f>
        <v>2265</v>
      </c>
      <c r="AA13" s="85">
        <f>+[59]NUTS3!$DP$101</f>
        <v>20</v>
      </c>
      <c r="AB13" s="83">
        <f>+[59]NUTS3!$DQ$101</f>
        <v>20</v>
      </c>
      <c r="AC13" s="121">
        <f>+[59]NUTS3!$DF$101</f>
        <v>82</v>
      </c>
      <c r="AD13" s="169">
        <f>+[59]NUTS3!$DG$101</f>
        <v>81</v>
      </c>
      <c r="AG13" s="128"/>
      <c r="AH13" s="40"/>
      <c r="AI13" s="40"/>
      <c r="AJ13" s="42">
        <v>1771</v>
      </c>
      <c r="AK13" s="42">
        <v>202</v>
      </c>
      <c r="AL13" s="42">
        <v>1473</v>
      </c>
      <c r="AM13" s="42">
        <v>292</v>
      </c>
      <c r="AN13" s="156">
        <f t="shared" si="1"/>
        <v>-578</v>
      </c>
      <c r="AO13" s="156">
        <f t="shared" si="0"/>
        <v>19</v>
      </c>
      <c r="AP13" s="156">
        <f t="shared" si="0"/>
        <v>-418</v>
      </c>
      <c r="AQ13" s="156">
        <f t="shared" si="0"/>
        <v>-3</v>
      </c>
    </row>
    <row r="14" spans="1:43" ht="25.5" customHeight="1">
      <c r="A14" s="1"/>
      <c r="B14" s="69">
        <v>6</v>
      </c>
      <c r="C14" s="79">
        <f>+[60]NUTS3!$E$101</f>
        <v>4103</v>
      </c>
      <c r="D14" s="80">
        <f>+[60]NUTS3!$F$101</f>
        <v>3456</v>
      </c>
      <c r="E14" s="80">
        <f>+[60]NUTS3!$J$101</f>
        <v>3672</v>
      </c>
      <c r="F14" s="81">
        <f>+[60]NUTS3!$K$101</f>
        <v>3146</v>
      </c>
      <c r="G14" s="82">
        <f>+[60]NUTS3!$T$101</f>
        <v>289</v>
      </c>
      <c r="H14" s="80">
        <f>+[60]NUTS3!$U$101</f>
        <v>93</v>
      </c>
      <c r="I14" s="80">
        <f>+[60]NUTS3!$Y$101</f>
        <v>242</v>
      </c>
      <c r="J14" s="83">
        <f>+[60]NUTS3!$Z$101</f>
        <v>108</v>
      </c>
      <c r="K14" s="84">
        <f>+[60]NUTS3!$AI$101</f>
        <v>2333</v>
      </c>
      <c r="L14" s="80">
        <f>+[60]NUTS3!$AJ$101</f>
        <v>1430</v>
      </c>
      <c r="M14" s="80">
        <f>+[60]NUTS3!$AN$101</f>
        <v>2144</v>
      </c>
      <c r="N14" s="84">
        <f>+[60]NUTS3!$AO$101</f>
        <v>1264</v>
      </c>
      <c r="O14" s="85">
        <f>+[60]NUTS3!$AX$101</f>
        <v>2508</v>
      </c>
      <c r="P14" s="84">
        <f>+[60]NUTS3!$AY$101</f>
        <v>1037</v>
      </c>
      <c r="Q14" s="82">
        <f>+[60]NUTS3!$BH$101+[60]NUTS3!$BW$101</f>
        <v>1204</v>
      </c>
      <c r="R14" s="80">
        <f>+[60]NUTS3!$BI$101+[60]NUTS3!$BX$101</f>
        <v>277</v>
      </c>
      <c r="S14" s="80">
        <f>+[60]NUTS3!$BM$101+[60]NUTS3!$CB$101</f>
        <v>1044</v>
      </c>
      <c r="T14" s="86">
        <f>+[60]NUTS3!$BN$101+[60]NUTS3!$CC$101</f>
        <v>336</v>
      </c>
      <c r="U14" s="81">
        <f>+[60]NUTS3!$CL$101</f>
        <v>55</v>
      </c>
      <c r="V14" s="84">
        <f>+[60]NUTS3!$CM$101</f>
        <v>15</v>
      </c>
      <c r="W14" s="85">
        <f>+[60]NUTS3!$CQ$101</f>
        <v>195</v>
      </c>
      <c r="X14" s="86">
        <f>+[60]NUTS3!$CR$101</f>
        <v>81</v>
      </c>
      <c r="Y14" s="85">
        <f>+[60]NUTS3!$FS$101</f>
        <v>33245</v>
      </c>
      <c r="Z14" s="83">
        <f>+[60]NUTS3!$FT$101</f>
        <v>3119</v>
      </c>
      <c r="AA14" s="85">
        <f>+[60]NUTS3!$DP$101</f>
        <v>24</v>
      </c>
      <c r="AB14" s="83">
        <f>+[60]NUTS3!$DQ$101</f>
        <v>30</v>
      </c>
      <c r="AC14" s="121">
        <f>+[60]NUTS3!$DF$101</f>
        <v>105</v>
      </c>
      <c r="AD14" s="169">
        <f>+[60]NUTS3!$DG$101</f>
        <v>112</v>
      </c>
      <c r="AG14" s="128"/>
      <c r="AI14" s="40"/>
      <c r="AJ14" s="42">
        <v>1782</v>
      </c>
      <c r="AK14" s="42">
        <v>284</v>
      </c>
      <c r="AL14" s="42">
        <v>1482</v>
      </c>
      <c r="AM14" s="42">
        <v>378</v>
      </c>
      <c r="AN14" s="156">
        <f t="shared" si="1"/>
        <v>-578</v>
      </c>
      <c r="AO14" s="156">
        <f t="shared" si="0"/>
        <v>-7</v>
      </c>
      <c r="AP14" s="156">
        <f t="shared" si="0"/>
        <v>-438</v>
      </c>
      <c r="AQ14" s="156">
        <f t="shared" si="0"/>
        <v>-42</v>
      </c>
    </row>
    <row r="15" spans="1:43" ht="25.5" customHeight="1">
      <c r="A15" s="1"/>
      <c r="B15" s="69">
        <v>7</v>
      </c>
      <c r="C15" s="79">
        <f>+[61]NUTS3!$E$101</f>
        <v>4331</v>
      </c>
      <c r="D15" s="80">
        <f>+[61]NUTS3!$F$101</f>
        <v>3892</v>
      </c>
      <c r="E15" s="80">
        <f>+[61]NUTS3!$J$101</f>
        <v>4059</v>
      </c>
      <c r="F15" s="81">
        <f>+[61]NUTS3!$K$101</f>
        <v>3779</v>
      </c>
      <c r="G15" s="82">
        <f>+[61]NUTS3!$T$101</f>
        <v>307</v>
      </c>
      <c r="H15" s="80">
        <f>+[61]NUTS3!$U$101</f>
        <v>123</v>
      </c>
      <c r="I15" s="80">
        <f>+[61]NUTS3!$Y$101</f>
        <v>257</v>
      </c>
      <c r="J15" s="83">
        <f>+[61]NUTS3!$Z$101</f>
        <v>135</v>
      </c>
      <c r="K15" s="84">
        <f>+[61]NUTS3!$AI$101</f>
        <v>3209</v>
      </c>
      <c r="L15" s="80">
        <f>+[61]NUTS3!$AJ$101</f>
        <v>2424</v>
      </c>
      <c r="M15" s="80">
        <f>+[61]NUTS3!$AN$101</f>
        <v>3038</v>
      </c>
      <c r="N15" s="84">
        <f>+[61]NUTS3!$AO$101</f>
        <v>2277</v>
      </c>
      <c r="O15" s="85">
        <f>+[61]NUTS3!$AX$101</f>
        <v>2572</v>
      </c>
      <c r="P15" s="84">
        <f>+[61]NUTS3!$AY$101</f>
        <v>1257</v>
      </c>
      <c r="Q15" s="82">
        <f>+[61]NUTS3!$BH$101+[61]NUTS3!$BW$101</f>
        <v>1213</v>
      </c>
      <c r="R15" s="80">
        <f>+[61]NUTS3!$BI$101+[61]NUTS3!$BX$101</f>
        <v>344</v>
      </c>
      <c r="S15" s="80">
        <f>+[61]NUTS3!$BM$101+[61]NUTS3!$CB$101</f>
        <v>1038</v>
      </c>
      <c r="T15" s="86">
        <f>+[61]NUTS3!$BN$101+[61]NUTS3!$CC$101</f>
        <v>398</v>
      </c>
      <c r="U15" s="81">
        <f>+[61]NUTS3!$CL$101</f>
        <v>54</v>
      </c>
      <c r="V15" s="84">
        <f>+[61]NUTS3!$CM$101</f>
        <v>16</v>
      </c>
      <c r="W15" s="85">
        <f>+[61]NUTS3!$CQ$101</f>
        <v>198</v>
      </c>
      <c r="X15" s="86">
        <f>+[61]NUTS3!$CR$101</f>
        <v>84</v>
      </c>
      <c r="Y15" s="85">
        <f>+[61]NUTS3!$FS$101</f>
        <v>33652</v>
      </c>
      <c r="Z15" s="83">
        <f>+[61]NUTS3!$FT$101</f>
        <v>3547</v>
      </c>
      <c r="AA15" s="85">
        <f>+[61]NUTS3!$DP$101</f>
        <v>28</v>
      </c>
      <c r="AB15" s="83">
        <f>+[61]NUTS3!$DQ$101</f>
        <v>39</v>
      </c>
      <c r="AC15" s="81">
        <f>+[61]NUTS3!$DF$101</f>
        <v>118</v>
      </c>
      <c r="AD15" s="87">
        <f>+[61]NUTS3!$DG$101</f>
        <v>138</v>
      </c>
      <c r="AI15" s="88"/>
      <c r="AJ15" s="42">
        <v>1750</v>
      </c>
      <c r="AK15" s="42">
        <v>346</v>
      </c>
      <c r="AL15" s="42">
        <v>1457</v>
      </c>
      <c r="AM15" s="42">
        <v>446</v>
      </c>
      <c r="AN15" s="156">
        <f t="shared" si="1"/>
        <v>-537</v>
      </c>
      <c r="AO15" s="156">
        <f t="shared" si="0"/>
        <v>-2</v>
      </c>
      <c r="AP15" s="156">
        <f t="shared" si="0"/>
        <v>-419</v>
      </c>
      <c r="AQ15" s="156">
        <f t="shared" si="0"/>
        <v>-48</v>
      </c>
    </row>
    <row r="16" spans="1:43" ht="25.5" customHeight="1">
      <c r="A16" s="1"/>
      <c r="B16" s="69">
        <v>8</v>
      </c>
      <c r="C16" s="79">
        <f>+[62]NUTS3!$E$101</f>
        <v>4533</v>
      </c>
      <c r="D16" s="80">
        <f>+[62]NUTS3!$F$101</f>
        <v>4238</v>
      </c>
      <c r="E16" s="80">
        <f>+[62]NUTS3!$J$101</f>
        <v>4273</v>
      </c>
      <c r="F16" s="81">
        <f>+[62]NUTS3!$K$101</f>
        <v>4193</v>
      </c>
      <c r="G16" s="82">
        <f>+[62]NUTS3!$T$101</f>
        <v>318</v>
      </c>
      <c r="H16" s="80">
        <f>+[62]NUTS3!$U$101</f>
        <v>147</v>
      </c>
      <c r="I16" s="80">
        <f>+[62]NUTS3!$Y$101</f>
        <v>270</v>
      </c>
      <c r="J16" s="83">
        <f>+[62]NUTS3!$Z$101</f>
        <v>158</v>
      </c>
      <c r="K16" s="84">
        <f>+[62]NUTS3!$AI$101</f>
        <v>3631</v>
      </c>
      <c r="L16" s="80">
        <f>+[62]NUTS3!$AJ$101</f>
        <v>3366</v>
      </c>
      <c r="M16" s="80">
        <f>+[62]NUTS3!$AN$101</f>
        <v>3572</v>
      </c>
      <c r="N16" s="84">
        <f>+[62]NUTS3!$AO$101</f>
        <v>3319</v>
      </c>
      <c r="O16" s="85">
        <f>+[62]NUTS3!$AX$101</f>
        <v>2608</v>
      </c>
      <c r="P16" s="84">
        <f>+[62]NUTS3!$AY$101</f>
        <v>1460</v>
      </c>
      <c r="Q16" s="82">
        <f>+[62]NUTS3!$BH$101+[62]NUTS3!$BW$101</f>
        <v>1209</v>
      </c>
      <c r="R16" s="80">
        <f>+[62]NUTS3!$BI$101+[62]NUTS3!$BX$101</f>
        <v>386</v>
      </c>
      <c r="S16" s="80">
        <f>+[62]NUTS3!$BM$101+[62]NUTS3!$CB$101</f>
        <v>1047</v>
      </c>
      <c r="T16" s="86">
        <f>+[62]NUTS3!$BN$101+[62]NUTS3!$CC$101</f>
        <v>451</v>
      </c>
      <c r="U16" s="81">
        <f>+[62]NUTS3!$CL$101</f>
        <v>55</v>
      </c>
      <c r="V16" s="84">
        <f>+[62]NUTS3!$CM$101</f>
        <v>19</v>
      </c>
      <c r="W16" s="85">
        <f>+[62]NUTS3!$CQ$101</f>
        <v>197</v>
      </c>
      <c r="X16" s="86">
        <f>+[62]NUTS3!$CR$101</f>
        <v>85</v>
      </c>
      <c r="Y16" s="85">
        <f>+[62]NUTS3!$FS$101</f>
        <v>33977</v>
      </c>
      <c r="Z16" s="83">
        <f>+[62]NUTS3!$FT$101</f>
        <v>3900</v>
      </c>
      <c r="AA16" s="85">
        <f>+[62]NUTS3!$DP$101</f>
        <v>30</v>
      </c>
      <c r="AB16" s="83">
        <f>+[62]NUTS3!$DQ$101</f>
        <v>41</v>
      </c>
      <c r="AC16" s="81">
        <f>+[62]NUTS3!$DF$101</f>
        <v>137</v>
      </c>
      <c r="AD16" s="87">
        <f>+[62]NUTS3!$DG$101</f>
        <v>163</v>
      </c>
      <c r="AI16" s="88"/>
      <c r="AJ16" s="42">
        <v>1657</v>
      </c>
      <c r="AK16" s="42">
        <v>413</v>
      </c>
      <c r="AL16" s="42">
        <v>1420</v>
      </c>
      <c r="AM16" s="42">
        <v>566</v>
      </c>
      <c r="AN16" s="156">
        <f t="shared" si="1"/>
        <v>-448</v>
      </c>
      <c r="AO16" s="156">
        <f t="shared" si="0"/>
        <v>-27</v>
      </c>
      <c r="AP16" s="156">
        <f t="shared" si="0"/>
        <v>-373</v>
      </c>
      <c r="AQ16" s="156">
        <f t="shared" si="0"/>
        <v>-115</v>
      </c>
    </row>
    <row r="17" spans="1:43" ht="25.5" customHeight="1">
      <c r="A17" s="1"/>
      <c r="B17" s="69">
        <v>9</v>
      </c>
      <c r="C17" s="79">
        <f>+[63]NUTS3!$E$101</f>
        <v>4514</v>
      </c>
      <c r="D17" s="80">
        <f>+[63]NUTS3!$F$101</f>
        <v>4621</v>
      </c>
      <c r="E17" s="80">
        <f>+[63]NUTS3!$J$101</f>
        <v>4317</v>
      </c>
      <c r="F17" s="81">
        <f>+[63]NUTS3!$K$101</f>
        <v>4607</v>
      </c>
      <c r="G17" s="82">
        <f>+[63]NUTS3!$T$101</f>
        <v>348</v>
      </c>
      <c r="H17" s="80">
        <f>+[63]NUTS3!$U$101</f>
        <v>181</v>
      </c>
      <c r="I17" s="80">
        <f>+[63]NUTS3!$Y$101</f>
        <v>299</v>
      </c>
      <c r="J17" s="83">
        <f>+[63]NUTS3!$Z$101</f>
        <v>196</v>
      </c>
      <c r="K17" s="84">
        <f>+[63]NUTS3!$AI$101</f>
        <v>4536</v>
      </c>
      <c r="L17" s="80">
        <f>+[63]NUTS3!$AJ$101</f>
        <v>4536</v>
      </c>
      <c r="M17" s="80">
        <f>+[63]NUTS3!$AN$101</f>
        <v>4409</v>
      </c>
      <c r="N17" s="84">
        <f>+[63]NUTS3!$AO$101</f>
        <v>4419</v>
      </c>
      <c r="O17" s="85">
        <f>+[63]NUTS3!$AX$101</f>
        <v>2676</v>
      </c>
      <c r="P17" s="84">
        <f>+[63]NUTS3!$AY$101</f>
        <v>1696</v>
      </c>
      <c r="Q17" s="82">
        <f>+[63]NUTS3!$BH$101+[63]NUTS3!$BW$101</f>
        <v>1267</v>
      </c>
      <c r="R17" s="80">
        <f>+[63]NUTS3!$BI$101+[63]NUTS3!$BX$101</f>
        <v>463</v>
      </c>
      <c r="S17" s="80">
        <f>+[63]NUTS3!$BM$101+[63]NUTS3!$CB$101</f>
        <v>1094</v>
      </c>
      <c r="T17" s="86">
        <f>+[63]NUTS3!$BN$101+[63]NUTS3!$CC$101</f>
        <v>518</v>
      </c>
      <c r="U17" s="81">
        <f>+[63]NUTS3!$CL$101</f>
        <v>55</v>
      </c>
      <c r="V17" s="84">
        <f>+[63]NUTS3!$CM$101</f>
        <v>21</v>
      </c>
      <c r="W17" s="85">
        <f>+[63]NUTS3!$CQ$101</f>
        <v>200</v>
      </c>
      <c r="X17" s="86">
        <f>+[63]NUTS3!$CR$101</f>
        <v>89</v>
      </c>
      <c r="Y17" s="85">
        <f>+[63]NUTS3!$FS$101</f>
        <v>34629</v>
      </c>
      <c r="Z17" s="83">
        <f>+[63]NUTS3!$FT$101</f>
        <v>4575</v>
      </c>
      <c r="AA17" s="85">
        <f>+[63]NUTS3!$DP$101</f>
        <v>27</v>
      </c>
      <c r="AB17" s="83">
        <f>+[63]NUTS3!$DQ$101</f>
        <v>41</v>
      </c>
      <c r="AC17" s="81">
        <f>+[63]NUTS3!$DF$101</f>
        <v>152</v>
      </c>
      <c r="AD17" s="87">
        <f>+[63]NUTS3!$DG$101</f>
        <v>194</v>
      </c>
      <c r="AI17" s="16"/>
      <c r="AJ17" s="42">
        <v>1615</v>
      </c>
      <c r="AK17" s="42">
        <v>455</v>
      </c>
      <c r="AL17" s="42">
        <v>1397</v>
      </c>
      <c r="AM17" s="42">
        <v>638</v>
      </c>
      <c r="AN17" s="156">
        <f t="shared" si="1"/>
        <v>-348</v>
      </c>
      <c r="AO17" s="156">
        <f t="shared" si="0"/>
        <v>8</v>
      </c>
      <c r="AP17" s="156">
        <f t="shared" si="0"/>
        <v>-303</v>
      </c>
      <c r="AQ17" s="156">
        <f t="shared" si="0"/>
        <v>-120</v>
      </c>
    </row>
    <row r="18" spans="1:43" ht="25.5" customHeight="1">
      <c r="A18" s="1"/>
      <c r="B18" s="69">
        <v>10</v>
      </c>
      <c r="C18" s="79">
        <f>+[64]NUTS3!$E$101</f>
        <v>4451</v>
      </c>
      <c r="D18" s="80">
        <f>+[64]NUTS3!$F$101</f>
        <v>4915</v>
      </c>
      <c r="E18" s="80">
        <f>+[64]NUTS3!$J$101</f>
        <v>4199</v>
      </c>
      <c r="F18" s="81">
        <f>+[64]NUTS3!$K$101</f>
        <v>4893</v>
      </c>
      <c r="G18" s="82">
        <f>+[64]NUTS3!$T$101</f>
        <v>352</v>
      </c>
      <c r="H18" s="80">
        <f>+[64]NUTS3!$U$101</f>
        <v>186</v>
      </c>
      <c r="I18" s="80">
        <f>+[64]NUTS3!$Y$101</f>
        <v>302</v>
      </c>
      <c r="J18" s="83">
        <f>+[64]NUTS3!$Z$101</f>
        <v>202</v>
      </c>
      <c r="K18" s="84">
        <f>+[64]NUTS3!$AI$101</f>
        <v>5204</v>
      </c>
      <c r="L18" s="80">
        <f>+[64]NUTS3!$AJ$101</f>
        <v>5403</v>
      </c>
      <c r="M18" s="80">
        <f>+[64]NUTS3!$AN$101</f>
        <v>5106</v>
      </c>
      <c r="N18" s="84">
        <f>+[64]NUTS3!$AO$101</f>
        <v>5322</v>
      </c>
      <c r="O18" s="85">
        <f>+[64]NUTS3!$AX$101</f>
        <v>2741</v>
      </c>
      <c r="P18" s="84">
        <f>+[64]NUTS3!$AY$101</f>
        <v>1950</v>
      </c>
      <c r="Q18" s="82">
        <f>+[64]NUTS3!$BH$101+[64]NUTS3!$BW$101</f>
        <v>1250</v>
      </c>
      <c r="R18" s="80">
        <f>+[64]NUTS3!$BI$101+[64]NUTS3!$BX$101</f>
        <v>537</v>
      </c>
      <c r="S18" s="80">
        <f>+[64]NUTS3!$BM$101+[64]NUTS3!$CB$101</f>
        <v>1097</v>
      </c>
      <c r="T18" s="86">
        <f>+[64]NUTS3!$BN$101+[64]NUTS3!$CC$101</f>
        <v>597</v>
      </c>
      <c r="U18" s="81">
        <f>+[64]NUTS3!$CL$101</f>
        <v>52</v>
      </c>
      <c r="V18" s="84">
        <f>+[64]NUTS3!$CM$101</f>
        <v>23</v>
      </c>
      <c r="W18" s="85">
        <f>+[64]NUTS3!$CQ$101</f>
        <v>202</v>
      </c>
      <c r="X18" s="86">
        <f>+[64]NUTS3!$CR$101</f>
        <v>91</v>
      </c>
      <c r="Y18" s="85">
        <f>+[64]NUTS3!$FS$101</f>
        <v>35149</v>
      </c>
      <c r="Z18" s="83">
        <f>+[64]NUTS3!$FT$101</f>
        <v>5121</v>
      </c>
      <c r="AA18" s="85">
        <f>+[64]NUTS3!$DP$101</f>
        <v>26</v>
      </c>
      <c r="AB18" s="83">
        <f>+[64]NUTS3!$DQ$101</f>
        <v>45</v>
      </c>
      <c r="AC18" s="81">
        <f>+[64]NUTS3!$DF$101</f>
        <v>164</v>
      </c>
      <c r="AD18" s="87">
        <f>+[64]NUTS3!$DG$101</f>
        <v>227</v>
      </c>
      <c r="AI18" s="93"/>
      <c r="AJ18" s="42">
        <v>1608</v>
      </c>
      <c r="AK18" s="42">
        <v>508</v>
      </c>
      <c r="AL18" s="42">
        <v>1355</v>
      </c>
      <c r="AM18" s="42">
        <v>667</v>
      </c>
      <c r="AN18" s="156">
        <f t="shared" si="1"/>
        <v>-358</v>
      </c>
      <c r="AO18" s="156">
        <f t="shared" si="0"/>
        <v>29</v>
      </c>
      <c r="AP18" s="156">
        <f t="shared" si="0"/>
        <v>-258</v>
      </c>
      <c r="AQ18" s="156">
        <f t="shared" si="0"/>
        <v>-70</v>
      </c>
    </row>
    <row r="19" spans="1:43" ht="25.5" customHeight="1">
      <c r="A19" s="1"/>
      <c r="B19" s="69">
        <v>11</v>
      </c>
      <c r="C19" s="79">
        <f>+[65]NUTS3!$E$101</f>
        <v>3958</v>
      </c>
      <c r="D19" s="80">
        <f>+[65]NUTS3!$F$101</f>
        <v>5061</v>
      </c>
      <c r="E19" s="80">
        <f>+[65]NUTS3!$J$101</f>
        <v>3740</v>
      </c>
      <c r="F19" s="81">
        <f>+[65]NUTS3!$K$101</f>
        <v>5118</v>
      </c>
      <c r="G19" s="82">
        <f>+[65]NUTS3!$T$101</f>
        <v>299</v>
      </c>
      <c r="H19" s="80">
        <f>+[65]NUTS3!$U$101</f>
        <v>193</v>
      </c>
      <c r="I19" s="80">
        <f>+[65]NUTS3!$Y$101</f>
        <v>257</v>
      </c>
      <c r="J19" s="83">
        <f>+[65]NUTS3!$Z$101</f>
        <v>209</v>
      </c>
      <c r="K19" s="84">
        <f>+[65]NUTS3!$AI$101</f>
        <v>5375</v>
      </c>
      <c r="L19" s="80">
        <f>+[65]NUTS3!$AJ$101</f>
        <v>6085</v>
      </c>
      <c r="M19" s="80">
        <f>+[65]NUTS3!$AN$101</f>
        <v>5281</v>
      </c>
      <c r="N19" s="84">
        <f>+[65]NUTS3!$AO$101</f>
        <v>6004</v>
      </c>
      <c r="O19" s="85">
        <f>+[65]NUTS3!$AX$101</f>
        <v>2796</v>
      </c>
      <c r="P19" s="84">
        <f>+[65]NUTS3!$AY$101</f>
        <v>2178</v>
      </c>
      <c r="Q19" s="82">
        <f>+[65]NUTS3!$BH$101+[65]NUTS3!$BW$101</f>
        <v>1277</v>
      </c>
      <c r="R19" s="80">
        <f>+[65]NUTS3!$BI$101+[65]NUTS3!$BX$101</f>
        <v>642</v>
      </c>
      <c r="S19" s="80">
        <f>+[65]NUTS3!$BM$101+[65]NUTS3!$CB$101</f>
        <v>1109</v>
      </c>
      <c r="T19" s="86">
        <f>+[65]NUTS3!$BN$101+[65]NUTS3!$CC$101</f>
        <v>679</v>
      </c>
      <c r="U19" s="81">
        <f>+[65]NUTS3!$CL$101</f>
        <v>47</v>
      </c>
      <c r="V19" s="84">
        <f>+[65]NUTS3!$CM$101</f>
        <v>23</v>
      </c>
      <c r="W19" s="85">
        <f>+[65]NUTS3!$CQ$101</f>
        <v>196</v>
      </c>
      <c r="X19" s="86">
        <f>+[65]NUTS3!$CR$101</f>
        <v>91</v>
      </c>
      <c r="Y19" s="85">
        <f>+[65]NUTS3!$FS$101</f>
        <v>35670</v>
      </c>
      <c r="Z19" s="83">
        <f>+[65]NUTS3!$FT$101</f>
        <v>6543</v>
      </c>
      <c r="AA19" s="85">
        <f>+[65]NUTS3!$DP$101</f>
        <v>29</v>
      </c>
      <c r="AB19" s="83">
        <f>+[65]NUTS3!$DQ$101</f>
        <v>52</v>
      </c>
      <c r="AC19" s="81">
        <f>+[65]NUTS3!$DF$101</f>
        <v>164</v>
      </c>
      <c r="AD19" s="87">
        <f>+[65]NUTS3!$DG$101</f>
        <v>251</v>
      </c>
      <c r="AH19" s="94"/>
      <c r="AI19" s="93"/>
      <c r="AJ19" s="42">
        <v>1564</v>
      </c>
      <c r="AK19" s="42">
        <v>567</v>
      </c>
      <c r="AL19" s="42">
        <v>1301</v>
      </c>
      <c r="AM19" s="42">
        <v>719</v>
      </c>
      <c r="AN19" s="156">
        <f t="shared" si="1"/>
        <v>-287</v>
      </c>
      <c r="AO19" s="156">
        <f t="shared" si="0"/>
        <v>75</v>
      </c>
      <c r="AP19" s="156">
        <f t="shared" si="0"/>
        <v>-192</v>
      </c>
      <c r="AQ19" s="156">
        <f t="shared" si="0"/>
        <v>-40</v>
      </c>
    </row>
    <row r="20" spans="1:43" s="31" customFormat="1" ht="25.5" customHeight="1" thickBot="1">
      <c r="A20" s="1"/>
      <c r="B20" s="95">
        <v>12</v>
      </c>
      <c r="C20" s="96">
        <f>+[66]NUTS3!$E$101</f>
        <v>3484</v>
      </c>
      <c r="D20" s="97">
        <f>+[66]NUTS3!$F$101</f>
        <v>5132</v>
      </c>
      <c r="E20" s="97">
        <f>+[66]NUTS3!$J$101</f>
        <v>3286</v>
      </c>
      <c r="F20" s="98">
        <f>+[66]NUTS3!$K$101</f>
        <v>5232</v>
      </c>
      <c r="G20" s="99">
        <f>+[66]NUTS3!$T$101</f>
        <v>258</v>
      </c>
      <c r="H20" s="97">
        <f>+[66]NUTS3!$U$101</f>
        <v>205</v>
      </c>
      <c r="I20" s="97">
        <f>+[66]NUTS3!$Y$101</f>
        <v>217</v>
      </c>
      <c r="J20" s="100">
        <f>+[66]NUTS3!$Z$101</f>
        <v>222</v>
      </c>
      <c r="K20" s="101">
        <f>+[66]NUTS3!$AI$101</f>
        <v>4941</v>
      </c>
      <c r="L20" s="97">
        <f>+[66]NUTS3!$AJ$101</f>
        <v>6350</v>
      </c>
      <c r="M20" s="97">
        <f>+[66]NUTS3!$AN$101</f>
        <v>4855</v>
      </c>
      <c r="N20" s="101">
        <f>+[66]NUTS3!$AO$101</f>
        <v>6306</v>
      </c>
      <c r="O20" s="102">
        <f>+[66]NUTS3!$AX$101</f>
        <v>2776</v>
      </c>
      <c r="P20" s="101">
        <f>+[66]NUTS3!$AY$101</f>
        <v>2303</v>
      </c>
      <c r="Q20" s="99">
        <f>+[66]NUTS3!$BH$101+[66]NUTS3!$BW$101</f>
        <v>1257</v>
      </c>
      <c r="R20" s="97">
        <f>+[66]NUTS3!$BI$101+[66]NUTS3!$BX$101</f>
        <v>681</v>
      </c>
      <c r="S20" s="97">
        <f>+[66]NUTS3!$BM$101+[66]NUTS3!$CB$101</f>
        <v>1094</v>
      </c>
      <c r="T20" s="103">
        <f>+[66]NUTS3!$BN$101+[66]NUTS3!$CC$101</f>
        <v>743</v>
      </c>
      <c r="U20" s="98">
        <f>+[66]NUTS3!$CL$101</f>
        <v>46</v>
      </c>
      <c r="V20" s="101">
        <f>+[66]NUTS3!$CM$101</f>
        <v>25</v>
      </c>
      <c r="W20" s="102">
        <f>+[66]NUTS3!$CQ$101</f>
        <v>119</v>
      </c>
      <c r="X20" s="100">
        <f>+[66]NUTS3!$CR$101</f>
        <v>92</v>
      </c>
      <c r="Y20" s="102">
        <f>+[66]NUTS3!$FS$101</f>
        <v>37238</v>
      </c>
      <c r="Z20" s="100">
        <f>+[66]NUTS3!$FT$101</f>
        <v>8399</v>
      </c>
      <c r="AA20" s="102">
        <f>+[66]NUTS3!$DP$101</f>
        <v>24</v>
      </c>
      <c r="AB20" s="100">
        <f>+[66]NUTS3!$DQ$101</f>
        <v>54</v>
      </c>
      <c r="AC20" s="98">
        <f>+[66]NUTS3!$DF$101</f>
        <v>152</v>
      </c>
      <c r="AD20" s="190">
        <f>+[66]NUTS3!$DG$101</f>
        <v>270</v>
      </c>
      <c r="AG20" s="40"/>
      <c r="AH20" s="93"/>
      <c r="AI20" s="93"/>
      <c r="AJ20" s="42">
        <v>1484</v>
      </c>
      <c r="AK20" s="42">
        <v>620</v>
      </c>
      <c r="AL20" s="42">
        <v>1284</v>
      </c>
      <c r="AM20" s="42">
        <v>793</v>
      </c>
      <c r="AN20" s="156">
        <f t="shared" si="1"/>
        <v>-227</v>
      </c>
      <c r="AO20" s="156">
        <f t="shared" si="0"/>
        <v>61</v>
      </c>
      <c r="AP20" s="156">
        <f t="shared" si="0"/>
        <v>-190</v>
      </c>
      <c r="AQ20" s="156">
        <f t="shared" si="0"/>
        <v>-50</v>
      </c>
    </row>
    <row r="21" spans="1:43" ht="25.5" customHeight="1" thickTop="1">
      <c r="A21" s="1"/>
      <c r="B21" s="105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106"/>
      <c r="AF21" s="106"/>
      <c r="AH21" s="93"/>
      <c r="AI21" s="93"/>
      <c r="AJ21" s="93"/>
      <c r="AK21" s="11"/>
      <c r="AL21" s="11"/>
    </row>
    <row r="22" spans="1:43" ht="25.5" customHeight="1">
      <c r="A22" s="1"/>
      <c r="B22" s="105"/>
      <c r="C22" s="84"/>
      <c r="D22" s="84"/>
      <c r="E22" s="191"/>
      <c r="F22" s="125"/>
      <c r="G22" s="125"/>
      <c r="H22" s="125"/>
      <c r="I22" s="125"/>
      <c r="J22" s="84"/>
      <c r="K22" s="84"/>
      <c r="L22" s="84"/>
      <c r="M22" s="84"/>
      <c r="N22" s="84"/>
      <c r="O22" s="84"/>
      <c r="P22" s="84"/>
      <c r="Q22" s="84"/>
      <c r="R22" s="107"/>
      <c r="S22" s="107"/>
      <c r="T22" s="107"/>
      <c r="U22" s="107"/>
      <c r="V22" s="107"/>
      <c r="W22" s="107"/>
      <c r="X22" s="107"/>
      <c r="Y22" s="107"/>
      <c r="Z22" s="84"/>
      <c r="AA22" s="84"/>
      <c r="AB22" s="84"/>
      <c r="AC22" s="84"/>
      <c r="AD22" s="106"/>
      <c r="AE22" s="106"/>
      <c r="AF22" s="106"/>
      <c r="AH22" s="93"/>
      <c r="AI22" s="108"/>
      <c r="AJ22" s="108"/>
    </row>
    <row r="23" spans="1:43" ht="25.5" customHeight="1" thickBot="1">
      <c r="A23" s="1"/>
      <c r="B23" s="109"/>
      <c r="C23" s="101"/>
      <c r="D23" s="101"/>
      <c r="E23" s="101"/>
      <c r="F23" s="101"/>
      <c r="G23" s="101"/>
      <c r="H23" s="101"/>
      <c r="I23" s="192"/>
      <c r="J23" s="192"/>
      <c r="M23" s="84"/>
      <c r="N23" s="84"/>
      <c r="O23" s="84"/>
      <c r="P23" s="84"/>
      <c r="Q23" s="84"/>
      <c r="R23" s="110"/>
      <c r="S23" s="111"/>
      <c r="T23" s="112"/>
      <c r="U23" s="112"/>
      <c r="V23" s="112"/>
      <c r="W23" s="112"/>
      <c r="X23" s="112"/>
      <c r="Y23" s="112"/>
      <c r="Z23" s="84"/>
      <c r="AA23" s="84"/>
      <c r="AB23" s="84"/>
      <c r="AC23" s="84"/>
      <c r="AD23" s="106"/>
      <c r="AE23" s="106"/>
      <c r="AF23" s="106"/>
      <c r="AH23" s="93"/>
    </row>
    <row r="24" spans="1:43" ht="58.5" customHeight="1" thickTop="1">
      <c r="A24" s="1"/>
      <c r="B24" s="18" t="s">
        <v>1</v>
      </c>
      <c r="C24" s="21" t="s">
        <v>22</v>
      </c>
      <c r="D24" s="113"/>
      <c r="E24" s="21" t="s">
        <v>23</v>
      </c>
      <c r="F24" s="20"/>
      <c r="G24" s="19" t="s">
        <v>24</v>
      </c>
      <c r="H24" s="20"/>
      <c r="I24" s="21" t="s">
        <v>52</v>
      </c>
      <c r="J24" s="20"/>
      <c r="K24" s="19" t="s">
        <v>60</v>
      </c>
      <c r="L24" s="25"/>
      <c r="O24" s="114"/>
      <c r="P24" s="114"/>
      <c r="Q24" s="114"/>
      <c r="R24" s="114"/>
      <c r="U24" s="111"/>
      <c r="V24" s="111"/>
      <c r="W24" s="111"/>
      <c r="X24" s="111"/>
      <c r="Y24" s="115"/>
      <c r="Z24" s="84"/>
      <c r="AA24" s="84"/>
      <c r="AB24" s="84"/>
      <c r="AC24" s="84"/>
      <c r="AD24" s="106"/>
      <c r="AE24" s="106"/>
      <c r="AF24" s="116"/>
    </row>
    <row r="25" spans="1:43" ht="25.5" customHeight="1" thickBot="1">
      <c r="A25" s="1"/>
      <c r="B25" s="32"/>
      <c r="C25" s="37" t="s">
        <v>13</v>
      </c>
      <c r="D25" s="36"/>
      <c r="E25" s="37" t="s">
        <v>13</v>
      </c>
      <c r="F25" s="36"/>
      <c r="G25" s="38" t="s">
        <v>13</v>
      </c>
      <c r="H25" s="36"/>
      <c r="I25" s="37" t="s">
        <v>26</v>
      </c>
      <c r="J25" s="36"/>
      <c r="K25" s="38" t="s">
        <v>26</v>
      </c>
      <c r="L25" s="39"/>
      <c r="O25" s="117"/>
      <c r="P25" s="117"/>
      <c r="Q25" s="117"/>
      <c r="R25" s="117"/>
      <c r="U25" s="111"/>
      <c r="V25" s="111"/>
      <c r="W25" s="111"/>
      <c r="X25" s="111"/>
      <c r="Y25" s="115"/>
      <c r="Z25" s="84"/>
      <c r="AA25" s="84"/>
      <c r="AB25" s="84"/>
      <c r="AC25" s="84"/>
      <c r="AD25" s="106"/>
      <c r="AE25" s="106"/>
      <c r="AF25" s="106"/>
      <c r="AH25" s="118" t="s">
        <v>27</v>
      </c>
    </row>
    <row r="26" spans="1:43" ht="25.5" customHeight="1">
      <c r="A26" s="1"/>
      <c r="B26" s="32"/>
      <c r="C26" s="45" t="s">
        <v>15</v>
      </c>
      <c r="D26" s="47" t="s">
        <v>16</v>
      </c>
      <c r="E26" s="52" t="s">
        <v>15</v>
      </c>
      <c r="F26" s="47" t="s">
        <v>16</v>
      </c>
      <c r="G26" s="44" t="s">
        <v>15</v>
      </c>
      <c r="H26" s="47" t="s">
        <v>16</v>
      </c>
      <c r="I26" s="54" t="s">
        <v>15</v>
      </c>
      <c r="J26" s="47" t="s">
        <v>16</v>
      </c>
      <c r="K26" s="193" t="s">
        <v>15</v>
      </c>
      <c r="L26" s="194" t="s">
        <v>16</v>
      </c>
      <c r="O26" s="111"/>
      <c r="P26" s="110"/>
      <c r="Q26" s="110"/>
      <c r="R26" s="110"/>
      <c r="U26" s="111"/>
      <c r="V26" s="111"/>
      <c r="W26" s="111"/>
      <c r="X26" s="111"/>
      <c r="Y26" s="115"/>
      <c r="Z26" s="84"/>
      <c r="AA26" s="84"/>
      <c r="AB26" s="84"/>
      <c r="AC26" s="84"/>
      <c r="AD26" s="106"/>
      <c r="AE26" s="106"/>
      <c r="AH26" s="40" t="s">
        <v>28</v>
      </c>
      <c r="AI26" s="40"/>
      <c r="AJ26" s="41">
        <f>+F20</f>
        <v>5232</v>
      </c>
    </row>
    <row r="27" spans="1:43" ht="25.5" customHeight="1">
      <c r="A27" s="1"/>
      <c r="B27" s="32"/>
      <c r="C27" s="45" t="s">
        <v>17</v>
      </c>
      <c r="D27" s="47" t="s">
        <v>18</v>
      </c>
      <c r="E27" s="52" t="s">
        <v>17</v>
      </c>
      <c r="F27" s="47" t="s">
        <v>18</v>
      </c>
      <c r="G27" s="44" t="s">
        <v>17</v>
      </c>
      <c r="H27" s="47" t="s">
        <v>18</v>
      </c>
      <c r="I27" s="54" t="s">
        <v>17</v>
      </c>
      <c r="J27" s="47" t="s">
        <v>18</v>
      </c>
      <c r="K27" s="54" t="s">
        <v>17</v>
      </c>
      <c r="L27" s="194" t="s">
        <v>18</v>
      </c>
      <c r="O27" s="111"/>
      <c r="P27" s="110"/>
      <c r="Q27" s="110"/>
      <c r="R27" s="111"/>
      <c r="U27" s="119"/>
      <c r="V27" s="119"/>
      <c r="W27" s="119"/>
      <c r="X27" s="119"/>
      <c r="Y27" s="119"/>
      <c r="Z27" s="84"/>
      <c r="AA27" s="84"/>
      <c r="AB27" s="84"/>
      <c r="AC27" s="84"/>
      <c r="AD27" s="106"/>
      <c r="AE27" s="106"/>
      <c r="AF27" s="106"/>
      <c r="AH27" s="40" t="s">
        <v>29</v>
      </c>
      <c r="AI27" s="40"/>
      <c r="AJ27" s="41">
        <f>+J20+N20+P20</f>
        <v>8831</v>
      </c>
    </row>
    <row r="28" spans="1:43" ht="25.5" customHeight="1" thickBot="1">
      <c r="A28" s="1"/>
      <c r="B28" s="56"/>
      <c r="C28" s="58" t="s">
        <v>19</v>
      </c>
      <c r="D28" s="60" t="s">
        <v>20</v>
      </c>
      <c r="E28" s="65" t="s">
        <v>19</v>
      </c>
      <c r="F28" s="60" t="s">
        <v>20</v>
      </c>
      <c r="G28" s="57" t="s">
        <v>19</v>
      </c>
      <c r="H28" s="60" t="s">
        <v>20</v>
      </c>
      <c r="I28" s="67" t="s">
        <v>19</v>
      </c>
      <c r="J28" s="60" t="s">
        <v>20</v>
      </c>
      <c r="K28" s="67" t="s">
        <v>19</v>
      </c>
      <c r="L28" s="195" t="s">
        <v>20</v>
      </c>
      <c r="O28" s="111"/>
      <c r="P28" s="110"/>
      <c r="Q28" s="110"/>
      <c r="R28" s="111"/>
      <c r="U28" s="119"/>
      <c r="V28" s="119"/>
      <c r="W28" s="119"/>
      <c r="X28" s="119"/>
      <c r="Y28" s="119"/>
      <c r="Z28" s="84"/>
      <c r="AA28" s="84"/>
      <c r="AB28" s="84"/>
      <c r="AC28" s="84"/>
      <c r="AD28" s="106"/>
      <c r="AE28" s="106"/>
      <c r="AF28" s="106"/>
      <c r="AH28" s="40" t="s">
        <v>54</v>
      </c>
      <c r="AI28" s="94"/>
      <c r="AJ28" s="41">
        <f>+T20+V20</f>
        <v>768</v>
      </c>
    </row>
    <row r="29" spans="1:43" ht="25.5" customHeight="1" thickTop="1">
      <c r="A29" s="1"/>
      <c r="B29" s="69">
        <v>1</v>
      </c>
      <c r="C29" s="122">
        <f>+[55]NUTS3!$EE$101</f>
        <v>5458</v>
      </c>
      <c r="D29" s="123">
        <f>+[55]NUTS3!$EF$101</f>
        <v>526</v>
      </c>
      <c r="E29" s="122">
        <f>+[55]NUTS3!$ET$101</f>
        <v>2547</v>
      </c>
      <c r="F29" s="123">
        <f>+[55]NUTS3!$EU$101</f>
        <v>312</v>
      </c>
      <c r="G29" s="122">
        <f>+[55]NUTS3!$FI$101</f>
        <v>348</v>
      </c>
      <c r="H29" s="123">
        <f>+[55]NUTS3!$FJ$101</f>
        <v>45</v>
      </c>
      <c r="I29" s="122">
        <f>[67]nez!$CS$101</f>
        <v>2009</v>
      </c>
      <c r="J29" s="123">
        <f>+[68]NUTS3!$T$101</f>
        <v>1228</v>
      </c>
      <c r="K29" s="181">
        <f>+[55]NUTS3!$GR$101</f>
        <v>2044</v>
      </c>
      <c r="L29" s="180">
        <f>+[55]NUTS3!$GS$101</f>
        <v>677</v>
      </c>
      <c r="O29" s="111"/>
      <c r="P29" s="110"/>
      <c r="Q29" s="93"/>
      <c r="R29" s="119"/>
      <c r="U29" s="119"/>
      <c r="V29" s="119"/>
      <c r="W29" s="119"/>
      <c r="X29" s="119"/>
      <c r="Y29" s="119"/>
      <c r="Z29" s="84"/>
      <c r="AA29" s="84"/>
      <c r="AB29" s="84"/>
      <c r="AC29" s="84"/>
      <c r="AD29" s="106"/>
      <c r="AE29" s="106"/>
      <c r="AF29" s="106"/>
      <c r="AH29" s="40" t="s">
        <v>32</v>
      </c>
      <c r="AJ29" s="41">
        <f>+D40</f>
        <v>16607</v>
      </c>
    </row>
    <row r="30" spans="1:43" ht="25.5" customHeight="1">
      <c r="A30" s="1"/>
      <c r="B30" s="69">
        <v>2</v>
      </c>
      <c r="C30" s="122">
        <f>+[56]NUTS3!$EE$101</f>
        <v>5585</v>
      </c>
      <c r="D30" s="123">
        <f>+[56]NUTS3!$EF$101</f>
        <v>869</v>
      </c>
      <c r="E30" s="122">
        <f>+[56]NUTS3!$ET$101</f>
        <v>2743</v>
      </c>
      <c r="F30" s="123">
        <f>+[56]NUTS3!$EU$101</f>
        <v>721</v>
      </c>
      <c r="G30" s="122">
        <f>+[56]NUTS3!$FI$101</f>
        <v>391</v>
      </c>
      <c r="H30" s="123">
        <f>+[56]NUTS3!$FJ$101</f>
        <v>104</v>
      </c>
      <c r="I30" s="122">
        <f>[69]nez!$CS$101</f>
        <v>3029</v>
      </c>
      <c r="J30" s="123">
        <f>+[68]NUTS3!$U$101</f>
        <v>3957</v>
      </c>
      <c r="K30" s="181">
        <f>+[56]NUTS3!$GR$101</f>
        <v>2587</v>
      </c>
      <c r="L30" s="180">
        <f>+[56]NUTS3!$GS$101</f>
        <v>1938</v>
      </c>
      <c r="O30" s="111"/>
      <c r="P30" s="110"/>
      <c r="Q30" s="93"/>
      <c r="R30" s="119"/>
      <c r="U30" s="119"/>
      <c r="V30" s="119"/>
      <c r="W30" s="119"/>
      <c r="X30" s="119"/>
      <c r="Y30" s="119"/>
      <c r="Z30" s="84"/>
      <c r="AA30" s="84"/>
      <c r="AB30" s="84"/>
      <c r="AC30" s="84"/>
      <c r="AD30" s="106"/>
      <c r="AE30" s="106"/>
      <c r="AF30" s="106"/>
      <c r="AH30" s="40" t="s">
        <v>33</v>
      </c>
      <c r="AI30" s="94"/>
      <c r="AJ30" s="41">
        <f>+F40</f>
        <v>12885</v>
      </c>
    </row>
    <row r="31" spans="1:43" ht="25.5" customHeight="1">
      <c r="A31" s="1"/>
      <c r="B31" s="69">
        <v>3</v>
      </c>
      <c r="C31" s="122">
        <f>+[57]NUTS3!$EE$101</f>
        <v>6279</v>
      </c>
      <c r="D31" s="123">
        <f>+[57]NUTS3!$EF$101</f>
        <v>2442</v>
      </c>
      <c r="E31" s="122">
        <f>+[57]NUTS3!$ET$101</f>
        <v>3406</v>
      </c>
      <c r="F31" s="123">
        <f>+[57]NUTS3!$EU$101</f>
        <v>1750</v>
      </c>
      <c r="G31" s="122">
        <f>+[57]NUTS3!$FI$101</f>
        <v>502</v>
      </c>
      <c r="H31" s="123">
        <f>+[57]NUTS3!$FJ$101</f>
        <v>239</v>
      </c>
      <c r="I31" s="122">
        <f>[70]nez!$CS$101</f>
        <v>3283</v>
      </c>
      <c r="J31" s="123">
        <f>+[68]NUTS3!$V$101</f>
        <v>6688</v>
      </c>
      <c r="K31" s="181">
        <f>+[57]NUTS3!$GR$101</f>
        <v>2777</v>
      </c>
      <c r="L31" s="180">
        <f>+[57]NUTS3!$GS$101</f>
        <v>3171</v>
      </c>
      <c r="O31" s="111"/>
      <c r="P31" s="110"/>
      <c r="Q31" s="93"/>
      <c r="R31" s="119"/>
      <c r="U31" s="119"/>
      <c r="V31" s="119"/>
      <c r="W31" s="119"/>
      <c r="X31" s="119"/>
      <c r="Y31" s="119"/>
      <c r="Z31" s="84"/>
      <c r="AA31" s="84"/>
      <c r="AB31" s="84"/>
      <c r="AC31" s="84"/>
      <c r="AD31" s="106"/>
      <c r="AE31" s="106"/>
      <c r="AF31" s="106"/>
      <c r="AH31" s="40" t="s">
        <v>34</v>
      </c>
      <c r="AJ31" s="128">
        <f>+H40</f>
        <v>3301</v>
      </c>
    </row>
    <row r="32" spans="1:43" ht="25.5" customHeight="1">
      <c r="A32" s="1"/>
      <c r="B32" s="69">
        <v>4</v>
      </c>
      <c r="C32" s="122">
        <f>+[58]NUTS3!$EE$101</f>
        <v>11062</v>
      </c>
      <c r="D32" s="123">
        <f>+[58]NUTS3!$EF$101</f>
        <v>8106</v>
      </c>
      <c r="E32" s="122">
        <f>+[58]NUTS3!$ET$101</f>
        <v>4510</v>
      </c>
      <c r="F32" s="123">
        <f>+[58]NUTS3!$EU$101</f>
        <v>3233</v>
      </c>
      <c r="G32" s="122">
        <f>+[58]NUTS3!$FI$101</f>
        <v>583</v>
      </c>
      <c r="H32" s="123">
        <f>+[58]NUTS3!$FJ$101</f>
        <v>344</v>
      </c>
      <c r="I32" s="122">
        <f>[71]nez!$CS$101</f>
        <v>3722</v>
      </c>
      <c r="J32" s="123">
        <f>+[68]NUTS3!$W$101</f>
        <v>9825</v>
      </c>
      <c r="K32" s="181">
        <f>+[58]NUTS3!$GR$101</f>
        <v>2977</v>
      </c>
      <c r="L32" s="180">
        <f>+[58]NUTS3!$GS$101</f>
        <v>4558</v>
      </c>
      <c r="O32" s="111"/>
      <c r="P32" s="110"/>
      <c r="Q32" s="93"/>
      <c r="R32" s="119"/>
      <c r="U32" s="119"/>
      <c r="V32" s="119"/>
      <c r="W32" s="119"/>
      <c r="X32" s="119"/>
      <c r="Y32" s="119"/>
      <c r="Z32" s="84"/>
      <c r="AA32" s="84"/>
      <c r="AB32" s="84"/>
      <c r="AC32" s="84"/>
      <c r="AD32" s="106"/>
      <c r="AE32" s="106"/>
      <c r="AF32" s="106"/>
      <c r="AH32" s="88" t="s">
        <v>35</v>
      </c>
      <c r="AI32" s="94"/>
      <c r="AJ32" s="41">
        <f>+J40</f>
        <v>27877</v>
      </c>
    </row>
    <row r="33" spans="1:40" ht="25.5" customHeight="1">
      <c r="A33" s="1"/>
      <c r="B33" s="69">
        <v>5</v>
      </c>
      <c r="C33" s="122">
        <f>+[59]NUTS3!$EE$101</f>
        <v>13846</v>
      </c>
      <c r="D33" s="123">
        <f>+[59]NUTS3!$EF$101</f>
        <v>11426</v>
      </c>
      <c r="E33" s="122">
        <f>+[59]NUTS3!$ET$101</f>
        <v>5793</v>
      </c>
      <c r="F33" s="123">
        <f>+[59]NUTS3!$EU$101</f>
        <v>4979</v>
      </c>
      <c r="G33" s="122">
        <f>+[59]NUTS3!$FI$101</f>
        <v>694</v>
      </c>
      <c r="H33" s="123">
        <f>+[59]NUTS3!$FJ$101</f>
        <v>499</v>
      </c>
      <c r="I33" s="122">
        <f>[72]nez!$CS$101</f>
        <v>3622</v>
      </c>
      <c r="J33" s="123">
        <f>+[68]NUTS3!$X$101</f>
        <v>12714</v>
      </c>
      <c r="K33" s="181">
        <f>+[59]NUTS3!$GR$101</f>
        <v>3136</v>
      </c>
      <c r="L33" s="180">
        <f>+[59]NUTS3!$GS$101</f>
        <v>5676</v>
      </c>
      <c r="O33" s="111"/>
      <c r="P33" s="110"/>
      <c r="Q33" s="93"/>
      <c r="R33" s="119"/>
      <c r="U33" s="119"/>
      <c r="V33" s="119"/>
      <c r="W33" s="119"/>
      <c r="X33" s="119"/>
      <c r="Y33" s="119"/>
      <c r="Z33" s="84"/>
      <c r="AA33" s="84"/>
      <c r="AB33" s="84"/>
      <c r="AC33" s="84"/>
      <c r="AD33" s="106"/>
      <c r="AE33" s="106"/>
      <c r="AF33" s="106"/>
      <c r="AH33" s="27" t="s">
        <v>55</v>
      </c>
      <c r="AJ33" s="128">
        <f>+L40</f>
        <v>13561</v>
      </c>
      <c r="AK33" s="129"/>
      <c r="AL33" s="129"/>
      <c r="AM33" s="129"/>
      <c r="AN33" s="129"/>
    </row>
    <row r="34" spans="1:40" ht="25.5" customHeight="1">
      <c r="A34" s="1"/>
      <c r="B34" s="69">
        <v>6</v>
      </c>
      <c r="C34" s="122">
        <f>+[60]NUTS3!$EE$101</f>
        <v>14957</v>
      </c>
      <c r="D34" s="123">
        <f>+[60]NUTS3!$EF$101</f>
        <v>13195</v>
      </c>
      <c r="E34" s="122">
        <f>+[60]NUTS3!$ET$101</f>
        <v>7050</v>
      </c>
      <c r="F34" s="123">
        <f>+[60]NUTS3!$EU$101</f>
        <v>6668</v>
      </c>
      <c r="G34" s="122">
        <f>+[60]NUTS3!$FI$101</f>
        <v>896</v>
      </c>
      <c r="H34" s="123">
        <f>+[60]NUTS3!$FJ$101</f>
        <v>714</v>
      </c>
      <c r="I34" s="122">
        <f>[73]nez!$CS$101</f>
        <v>2461</v>
      </c>
      <c r="J34" s="123">
        <f>+[68]NUTS3!$Y$101</f>
        <v>14894</v>
      </c>
      <c r="K34" s="181">
        <f>+[60]NUTS3!$GR$101</f>
        <v>2887</v>
      </c>
      <c r="L34" s="180">
        <f>+[60]NUTS3!$GS$101</f>
        <v>6619</v>
      </c>
      <c r="O34" s="111"/>
      <c r="P34" s="110"/>
      <c r="Q34" s="93"/>
      <c r="R34" s="119"/>
      <c r="U34" s="119"/>
      <c r="V34" s="119"/>
      <c r="W34" s="119"/>
      <c r="X34" s="119"/>
      <c r="Y34" s="119"/>
      <c r="Z34" s="84"/>
      <c r="AA34" s="84"/>
      <c r="AB34" s="84"/>
      <c r="AC34" s="84"/>
      <c r="AD34" s="106"/>
      <c r="AE34" s="106"/>
      <c r="AF34" s="106"/>
      <c r="AH34" s="40" t="s">
        <v>56</v>
      </c>
      <c r="AI34" s="94"/>
      <c r="AJ34" s="41">
        <f>+X20</f>
        <v>92</v>
      </c>
      <c r="AK34" s="108"/>
      <c r="AL34" s="129"/>
      <c r="AM34" s="129"/>
      <c r="AN34" s="129"/>
    </row>
    <row r="35" spans="1:40" ht="25.5" customHeight="1">
      <c r="A35" s="1"/>
      <c r="B35" s="69">
        <v>7</v>
      </c>
      <c r="C35" s="122">
        <f>+[61]NUTS3!$EE$101</f>
        <v>15421</v>
      </c>
      <c r="D35" s="123">
        <f>+[61]NUTS3!$EF$101</f>
        <v>14137</v>
      </c>
      <c r="E35" s="122">
        <f>+[61]NUTS3!$ET$101</f>
        <v>7804</v>
      </c>
      <c r="F35" s="123">
        <f>+[61]NUTS3!$EU$101</f>
        <v>7733</v>
      </c>
      <c r="G35" s="122">
        <f>+[61]NUTS3!$FI$101</f>
        <v>1130</v>
      </c>
      <c r="H35" s="123">
        <f>+[61]NUTS3!$FJ$101</f>
        <v>958</v>
      </c>
      <c r="I35" s="122">
        <f>[74]nez!$CS$101</f>
        <v>1641</v>
      </c>
      <c r="J35" s="182">
        <f>+[68]NUTS3!$Z$101</f>
        <v>16321</v>
      </c>
      <c r="K35" s="181">
        <f>+[61]NUTS3!$GR$101+[61]NUTS3!$HB$101</f>
        <v>2791</v>
      </c>
      <c r="L35" s="180">
        <f>+[61]NUTS3!$GS$101+[61]NUTS3!$HC$101</f>
        <v>7366</v>
      </c>
      <c r="O35" s="111"/>
      <c r="P35" s="110"/>
      <c r="Q35" s="93"/>
      <c r="R35" s="119"/>
      <c r="U35" s="119"/>
      <c r="V35" s="119"/>
      <c r="W35" s="119"/>
      <c r="X35" s="119"/>
      <c r="Y35" s="119"/>
      <c r="Z35" s="84"/>
      <c r="AA35" s="84"/>
      <c r="AB35" s="84"/>
      <c r="AC35" s="84"/>
      <c r="AD35" s="106"/>
      <c r="AE35" s="106"/>
      <c r="AF35" s="106"/>
      <c r="AH35" s="40" t="s">
        <v>38</v>
      </c>
      <c r="AI35" s="93"/>
      <c r="AJ35" s="41">
        <f>+AB20</f>
        <v>54</v>
      </c>
      <c r="AK35" s="129"/>
      <c r="AL35" s="129"/>
      <c r="AM35" s="129"/>
      <c r="AN35" s="129"/>
    </row>
    <row r="36" spans="1:40" ht="25.5" customHeight="1">
      <c r="A36" s="1"/>
      <c r="B36" s="69">
        <v>8</v>
      </c>
      <c r="C36" s="122">
        <f>+[62]NUTS3!$EE$101</f>
        <v>15251</v>
      </c>
      <c r="D36" s="123">
        <f>+[62]NUTS3!$EF$101</f>
        <v>14590</v>
      </c>
      <c r="E36" s="122">
        <f>+[62]NUTS3!$ET$101</f>
        <v>7769</v>
      </c>
      <c r="F36" s="123">
        <f>+[62]NUTS3!$EU$101</f>
        <v>8186</v>
      </c>
      <c r="G36" s="122">
        <f>+[62]NUTS3!$FI$101</f>
        <v>1272</v>
      </c>
      <c r="H36" s="123">
        <f>+[62]NUTS3!$FJ$101</f>
        <v>1118</v>
      </c>
      <c r="I36" s="122">
        <f>[75]nez!$CS$101</f>
        <v>1461</v>
      </c>
      <c r="J36" s="182">
        <f>+[68]NUTS3!$AA$101</f>
        <v>17561</v>
      </c>
      <c r="K36" s="181">
        <f>+[62]NUTS3!$GR$101+[62]NUTS3!$HB$101</f>
        <v>2868</v>
      </c>
      <c r="L36" s="180">
        <f>+[62]NUTS3!$GS$101+[62]NUTS3!$HC$101</f>
        <v>8131</v>
      </c>
      <c r="O36" s="111"/>
      <c r="P36" s="110"/>
      <c r="Q36" s="93"/>
      <c r="R36" s="119"/>
      <c r="U36" s="119"/>
      <c r="V36" s="119"/>
      <c r="W36" s="119"/>
      <c r="X36" s="119"/>
      <c r="Y36" s="119"/>
      <c r="Z36" s="84"/>
      <c r="AA36" s="84"/>
      <c r="AB36" s="84"/>
      <c r="AC36" s="84"/>
      <c r="AD36" s="106"/>
      <c r="AE36" s="106"/>
      <c r="AF36" s="106"/>
      <c r="AH36" s="40" t="s">
        <v>31</v>
      </c>
      <c r="AI36" s="94"/>
      <c r="AJ36" s="41">
        <f>+AD20</f>
        <v>270</v>
      </c>
      <c r="AK36" s="107"/>
      <c r="AL36" s="107"/>
      <c r="AM36" s="107"/>
      <c r="AN36" s="107"/>
    </row>
    <row r="37" spans="1:40" ht="25.5" customHeight="1">
      <c r="A37" s="1"/>
      <c r="B37" s="69">
        <v>9</v>
      </c>
      <c r="C37" s="122">
        <f>+[63]NUTS3!$EE$101</f>
        <v>14763</v>
      </c>
      <c r="D37" s="123">
        <f>+[63]NUTS3!$EF$101</f>
        <v>15096</v>
      </c>
      <c r="E37" s="122">
        <f>+[63]NUTS3!$ET$101</f>
        <v>7697</v>
      </c>
      <c r="F37" s="123">
        <f>+[63]NUTS3!$EU$101</f>
        <v>8856</v>
      </c>
      <c r="G37" s="122">
        <f>+[63]NUTS3!$FI$101</f>
        <v>1347</v>
      </c>
      <c r="H37" s="123">
        <f>+[63]NUTS3!$FJ$101</f>
        <v>1215</v>
      </c>
      <c r="I37" s="122">
        <f>[76]nez!$CS$101</f>
        <v>2917</v>
      </c>
      <c r="J37" s="182">
        <f>+[68]NUTS3!$AB$101</f>
        <v>20503</v>
      </c>
      <c r="K37" s="181">
        <f>+[63]NUTS3!$GR$101+[63]NUTS3!$HB$101</f>
        <v>3645</v>
      </c>
      <c r="L37" s="180">
        <f>+[63]NUTS3!$GS$101+[63]NUTS3!$HC$101</f>
        <v>9573</v>
      </c>
      <c r="O37" s="111"/>
      <c r="P37" s="110"/>
      <c r="Q37" s="93"/>
      <c r="R37" s="119"/>
      <c r="U37" s="119"/>
      <c r="V37" s="119"/>
      <c r="W37" s="119"/>
      <c r="X37" s="119"/>
      <c r="Y37" s="119"/>
      <c r="Z37" s="84"/>
      <c r="AA37" s="84"/>
      <c r="AB37" s="84"/>
      <c r="AC37" s="84"/>
      <c r="AD37" s="106"/>
      <c r="AE37" s="106"/>
      <c r="AF37" s="106"/>
      <c r="AK37" s="112"/>
      <c r="AL37" s="112"/>
      <c r="AM37" s="112"/>
      <c r="AN37" s="112"/>
    </row>
    <row r="38" spans="1:40" ht="25.5" customHeight="1">
      <c r="A38" s="1"/>
      <c r="B38" s="69">
        <v>10</v>
      </c>
      <c r="C38" s="122">
        <f>+[64]NUTS3!$EE$101</f>
        <v>13559</v>
      </c>
      <c r="D38" s="123">
        <f>+[64]NUTS3!$EF$101</f>
        <v>15566</v>
      </c>
      <c r="E38" s="122">
        <f>+[64]NUTS3!$ET$101</f>
        <v>7796</v>
      </c>
      <c r="F38" s="123">
        <f>+[64]NUTS3!$EU$101</f>
        <v>9917</v>
      </c>
      <c r="G38" s="181">
        <f>+[64]NUTS3!$FI$101+[64]NUTS3!$HQ$101</f>
        <v>1642</v>
      </c>
      <c r="H38" s="182">
        <f>+[64]NUTS3!$FJ$101+[64]NUTS3!$HR$101</f>
        <v>1654</v>
      </c>
      <c r="I38" s="122">
        <f>[77]nez!$CS$101</f>
        <v>3836</v>
      </c>
      <c r="J38" s="182">
        <f>+[68]NUTS3!$AC$101</f>
        <v>23938</v>
      </c>
      <c r="K38" s="181">
        <f>+[64]NUTS3!$GR$101+[64]NUTS3!$HB$101</f>
        <v>4365</v>
      </c>
      <c r="L38" s="180">
        <f>+[64]NUTS3!$GS$101+[64]NUTS3!$HC$101</f>
        <v>11289</v>
      </c>
      <c r="O38" s="125"/>
      <c r="P38" s="125"/>
      <c r="Q38" s="93"/>
      <c r="R38" s="119"/>
      <c r="U38" s="119"/>
      <c r="V38" s="119"/>
      <c r="W38" s="119"/>
      <c r="X38" s="119"/>
      <c r="Y38" s="119"/>
      <c r="Z38" s="84"/>
      <c r="AA38" s="84"/>
      <c r="AB38" s="84"/>
      <c r="AC38" s="84"/>
      <c r="AD38" s="106"/>
      <c r="AE38" s="106"/>
      <c r="AF38" s="106"/>
      <c r="AK38" s="111"/>
      <c r="AL38" s="111"/>
      <c r="AM38" s="111"/>
      <c r="AN38" s="115"/>
    </row>
    <row r="39" spans="1:40" ht="25.5" customHeight="1">
      <c r="A39" s="1"/>
      <c r="B39" s="69">
        <v>11</v>
      </c>
      <c r="C39" s="122">
        <f>+[65]NUTS3!$EE$101</f>
        <v>11874</v>
      </c>
      <c r="D39" s="123">
        <f>+[65]NUTS3!$EF$101</f>
        <v>16102</v>
      </c>
      <c r="E39" s="122">
        <f>+[65]NUTS3!$ET$101</f>
        <v>7804</v>
      </c>
      <c r="F39" s="123">
        <f>+[65]NUTS3!$EU$101</f>
        <v>11325</v>
      </c>
      <c r="G39" s="181">
        <f>+[65]NUTS3!$FI$101+[65]NUTS3!$HQ$101</f>
        <v>2542</v>
      </c>
      <c r="H39" s="182">
        <f>+[65]NUTS3!$FJ$101+[65]NUTS3!$HR$101</f>
        <v>2623</v>
      </c>
      <c r="I39" s="181">
        <f>[78]nez!$CS$101</f>
        <v>3398</v>
      </c>
      <c r="J39" s="182">
        <f>+[68]NUTS3!$AD$101</f>
        <v>26979</v>
      </c>
      <c r="K39" s="181">
        <f>+[65]NUTS3!$GR$101+[65]NUTS3!$HB$101</f>
        <v>4599</v>
      </c>
      <c r="L39" s="180">
        <f>+[65]NUTS3!$GS$101+[65]NUTS3!$HC$101</f>
        <v>12758</v>
      </c>
      <c r="O39" s="125"/>
      <c r="P39" s="125"/>
      <c r="Q39" s="93"/>
      <c r="R39" s="119"/>
      <c r="U39" s="84"/>
      <c r="V39" s="84"/>
      <c r="W39" s="84"/>
      <c r="X39" s="84"/>
      <c r="Y39" s="84"/>
      <c r="Z39" s="84"/>
      <c r="AA39" s="84"/>
      <c r="AB39" s="84"/>
      <c r="AC39" s="84"/>
      <c r="AD39" s="106"/>
      <c r="AE39" s="106"/>
      <c r="AF39" s="106"/>
      <c r="AK39" s="111"/>
      <c r="AL39" s="111"/>
      <c r="AM39" s="111"/>
      <c r="AN39" s="115"/>
    </row>
    <row r="40" spans="1:40" ht="25.5" customHeight="1" thickBot="1">
      <c r="A40" s="1"/>
      <c r="B40" s="132">
        <v>12</v>
      </c>
      <c r="C40" s="135">
        <f>+[66]NUTS3!$EE$101</f>
        <v>9897</v>
      </c>
      <c r="D40" s="136">
        <f>+[66]NUTS3!$EF$101</f>
        <v>16607</v>
      </c>
      <c r="E40" s="135">
        <f>+[66]NUTS3!$ET$101</f>
        <v>7922</v>
      </c>
      <c r="F40" s="136">
        <f>+[66]NUTS3!$EU$101</f>
        <v>12885</v>
      </c>
      <c r="G40" s="183">
        <f>+[66]NUTS3!$FI$101+[66]NUTS3!$HQ$101</f>
        <v>3005</v>
      </c>
      <c r="H40" s="184">
        <f>+[66]NUTS3!$FJ$101+[66]NUTS3!$HR$101</f>
        <v>3301</v>
      </c>
      <c r="I40" s="183">
        <f>[79]nez!$CS$101</f>
        <v>1499</v>
      </c>
      <c r="J40" s="184">
        <f>+[68]NUTS3!$AE$101</f>
        <v>27877</v>
      </c>
      <c r="K40" s="183">
        <f>+[66]NUTS3!$GR$101+[66]NUTS3!$HB$101</f>
        <v>3919</v>
      </c>
      <c r="L40" s="186">
        <f>+[66]NUTS3!$GS$101+[66]NUTS3!$HC$101</f>
        <v>13561</v>
      </c>
      <c r="O40" s="125"/>
      <c r="P40" s="125"/>
      <c r="Q40" s="93"/>
      <c r="R40" s="119"/>
      <c r="U40" s="84"/>
      <c r="V40" s="84"/>
      <c r="W40" s="84"/>
      <c r="X40" s="84"/>
      <c r="Y40" s="84"/>
      <c r="Z40" s="84"/>
      <c r="AA40" s="84"/>
      <c r="AB40" s="84"/>
      <c r="AC40" s="84"/>
      <c r="AD40" s="106"/>
      <c r="AE40" s="106"/>
      <c r="AF40" s="106"/>
      <c r="AH40" s="111"/>
      <c r="AI40" s="93"/>
      <c r="AJ40" s="93"/>
      <c r="AK40" s="111"/>
      <c r="AL40" s="111"/>
      <c r="AM40" s="111"/>
      <c r="AN40" s="115"/>
    </row>
    <row r="41" spans="1:40" ht="25.5" customHeight="1" thickTop="1">
      <c r="A41" s="1"/>
      <c r="B41" s="187" t="s">
        <v>61</v>
      </c>
      <c r="C41" s="188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93"/>
      <c r="Q41" s="93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106"/>
      <c r="AE41" s="106"/>
      <c r="AF41" s="106"/>
      <c r="AH41" s="119"/>
      <c r="AI41" s="93"/>
      <c r="AJ41" s="93"/>
      <c r="AK41" s="119"/>
      <c r="AL41" s="119"/>
      <c r="AM41" s="119"/>
      <c r="AN41" s="119"/>
    </row>
    <row r="42" spans="1:40" ht="16.5" customHeight="1">
      <c r="A42" s="1"/>
      <c r="B42" s="189"/>
      <c r="C42" s="84"/>
      <c r="D42" s="84"/>
      <c r="E42" s="84"/>
      <c r="F42" s="84"/>
      <c r="G42" s="84"/>
      <c r="H42" s="84"/>
      <c r="I42" s="93"/>
      <c r="J42" s="140"/>
      <c r="K42" s="108"/>
      <c r="L42" s="108"/>
      <c r="M42" s="93"/>
      <c r="N42" s="84"/>
      <c r="O42" s="141"/>
      <c r="P42" s="142"/>
      <c r="Q42" s="93"/>
      <c r="R42" s="93"/>
      <c r="S42" s="93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106"/>
      <c r="AE42" s="106"/>
      <c r="AF42" s="106"/>
      <c r="AH42" s="119"/>
      <c r="AI42" s="93"/>
      <c r="AJ42" s="93"/>
      <c r="AK42" s="119"/>
      <c r="AL42" s="119"/>
      <c r="AM42" s="119"/>
      <c r="AN42" s="119"/>
    </row>
    <row r="43" spans="1:40" ht="20.100000000000001" customHeight="1">
      <c r="A43" s="1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AH43" s="119"/>
      <c r="AI43" s="93"/>
      <c r="AJ43" s="93"/>
      <c r="AK43" s="119"/>
      <c r="AL43" s="119"/>
      <c r="AM43" s="119"/>
      <c r="AN43" s="119"/>
    </row>
    <row r="44" spans="1:40" ht="20.100000000000001" customHeight="1">
      <c r="A44" s="143"/>
      <c r="B44" s="105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AH44" s="93"/>
      <c r="AI44" s="93"/>
      <c r="AK44" s="93"/>
      <c r="AL44" s="93"/>
      <c r="AM44" s="93"/>
      <c r="AN44" s="93"/>
    </row>
    <row r="45" spans="1:40" ht="20.100000000000001" customHeight="1">
      <c r="AG45" s="40"/>
      <c r="AH45" s="93"/>
      <c r="AI45" s="93"/>
      <c r="AJ45" s="93"/>
      <c r="AK45" s="93"/>
      <c r="AL45" s="93"/>
      <c r="AM45" s="93"/>
      <c r="AN45" s="93"/>
    </row>
    <row r="46" spans="1:40" ht="20.100000000000001" customHeight="1">
      <c r="AI46" s="11"/>
      <c r="AJ46" s="11"/>
      <c r="AK46" s="93"/>
      <c r="AL46" s="93"/>
      <c r="AM46" s="93"/>
      <c r="AN46" s="93"/>
    </row>
    <row r="47" spans="1:40" ht="20.100000000000001" customHeight="1">
      <c r="D47" s="144"/>
      <c r="AK47" s="93"/>
      <c r="AL47" s="93"/>
      <c r="AM47" s="93"/>
      <c r="AN47" s="93"/>
    </row>
    <row r="48" spans="1:40" ht="28.5" customHeight="1">
      <c r="P48" s="145"/>
      <c r="AK48" s="93"/>
      <c r="AL48" s="93"/>
      <c r="AM48" s="93"/>
      <c r="AN48" s="93"/>
    </row>
    <row r="49" spans="2:40" ht="20.100000000000001" customHeight="1">
      <c r="B49" s="146"/>
      <c r="D49" s="146"/>
      <c r="AK49" s="93"/>
      <c r="AL49" s="93"/>
      <c r="AM49" s="93"/>
      <c r="AN49" s="93"/>
    </row>
    <row r="50" spans="2:40" ht="20.100000000000001" customHeight="1">
      <c r="N50" s="11"/>
      <c r="O50" s="11"/>
      <c r="P50" s="147"/>
      <c r="Q50" s="11"/>
      <c r="R50" s="11"/>
      <c r="AK50" s="93"/>
      <c r="AL50" s="93"/>
      <c r="AM50" s="93"/>
      <c r="AN50" s="93"/>
    </row>
    <row r="51" spans="2:40" ht="20.100000000000001" customHeight="1">
      <c r="N51" s="11"/>
      <c r="O51" s="11"/>
      <c r="P51" s="48"/>
      <c r="Q51" s="11"/>
      <c r="R51" s="11"/>
      <c r="AK51" s="93"/>
      <c r="AL51" s="93"/>
      <c r="AM51" s="93"/>
      <c r="AN51" s="93"/>
    </row>
    <row r="52" spans="2:40" ht="20.100000000000001" customHeight="1">
      <c r="N52" s="11"/>
      <c r="O52" s="11"/>
      <c r="P52" s="48"/>
      <c r="Q52" s="11"/>
      <c r="R52" s="11"/>
      <c r="AH52" s="93"/>
      <c r="AI52" s="93"/>
      <c r="AJ52" s="93"/>
      <c r="AK52" s="93"/>
      <c r="AL52" s="93"/>
      <c r="AM52" s="93"/>
      <c r="AN52" s="93"/>
    </row>
    <row r="53" spans="2:40" ht="20.100000000000001" customHeight="1">
      <c r="N53" s="11"/>
      <c r="O53" s="11"/>
      <c r="P53" s="48"/>
      <c r="Q53" s="11"/>
      <c r="R53" s="11"/>
      <c r="AH53" s="93"/>
      <c r="AI53" s="93"/>
      <c r="AJ53" s="93"/>
      <c r="AK53" s="93"/>
      <c r="AL53" s="93"/>
      <c r="AM53" s="93"/>
      <c r="AN53" s="93"/>
    </row>
    <row r="54" spans="2:40" ht="20.100000000000001" customHeight="1">
      <c r="N54" s="11"/>
      <c r="O54" s="105"/>
      <c r="P54" s="148"/>
      <c r="Q54" s="11"/>
      <c r="R54" s="11"/>
      <c r="AH54" s="30"/>
      <c r="AI54" s="30"/>
      <c r="AJ54" s="116"/>
      <c r="AK54" s="116"/>
      <c r="AL54" s="30"/>
      <c r="AM54" s="30"/>
      <c r="AN54" s="30"/>
    </row>
    <row r="55" spans="2:40" ht="20.100000000000001" customHeight="1">
      <c r="N55" s="11"/>
      <c r="O55" s="105"/>
      <c r="P55" s="148"/>
      <c r="Q55" s="11"/>
      <c r="R55" s="11"/>
      <c r="AJ55" s="149"/>
      <c r="AK55" s="149"/>
    </row>
    <row r="56" spans="2:40" ht="20.100000000000001" customHeight="1">
      <c r="N56" s="11"/>
      <c r="O56" s="105"/>
      <c r="P56" s="150"/>
      <c r="Q56" s="11"/>
      <c r="R56" s="11"/>
    </row>
    <row r="57" spans="2:40" ht="20.100000000000001" customHeight="1">
      <c r="N57" s="11"/>
      <c r="O57" s="105"/>
      <c r="P57" s="150"/>
      <c r="Q57" s="11"/>
      <c r="R57" s="11"/>
    </row>
    <row r="58" spans="2:40" ht="20.100000000000001" customHeight="1">
      <c r="N58" s="11"/>
      <c r="O58" s="105"/>
      <c r="P58" s="150"/>
      <c r="Q58" s="11"/>
      <c r="R58" s="11"/>
    </row>
    <row r="59" spans="2:40" ht="20.100000000000001" customHeight="1">
      <c r="N59" s="11"/>
      <c r="O59" s="105"/>
      <c r="P59" s="150"/>
      <c r="Q59" s="11"/>
      <c r="R59" s="11"/>
    </row>
    <row r="60" spans="2:40" ht="20.100000000000001" customHeight="1">
      <c r="N60" s="11"/>
      <c r="O60" s="105"/>
      <c r="P60" s="150"/>
      <c r="Q60" s="11"/>
      <c r="R60" s="11"/>
    </row>
    <row r="61" spans="2:40" ht="21.75" customHeight="1">
      <c r="N61" s="11"/>
      <c r="O61" s="105"/>
      <c r="P61" s="150"/>
      <c r="Q61" s="11"/>
      <c r="R61" s="151"/>
      <c r="S61" s="152"/>
      <c r="T61" s="152"/>
      <c r="U61" s="152"/>
      <c r="V61" s="152"/>
      <c r="W61" s="152"/>
      <c r="X61" s="152"/>
      <c r="AI61" s="128"/>
      <c r="AJ61" s="128"/>
    </row>
    <row r="62" spans="2:40" ht="21.75" customHeight="1">
      <c r="N62" s="11"/>
      <c r="O62" s="105"/>
      <c r="P62" s="150"/>
      <c r="Q62" s="11"/>
      <c r="R62" s="151"/>
      <c r="S62" s="152"/>
      <c r="T62" s="152"/>
      <c r="U62" s="152"/>
      <c r="V62" s="152"/>
      <c r="W62" s="152"/>
      <c r="X62" s="152"/>
      <c r="AI62" s="128"/>
      <c r="AJ62" s="128"/>
    </row>
    <row r="63" spans="2:40" ht="21.95" customHeight="1">
      <c r="B63" s="153"/>
      <c r="C63" s="111"/>
      <c r="D63" s="111"/>
      <c r="E63" s="111"/>
      <c r="F63" s="111"/>
      <c r="G63" s="111"/>
      <c r="H63" s="111"/>
      <c r="I63" s="154"/>
      <c r="J63" s="152"/>
      <c r="N63" s="151"/>
      <c r="O63" s="105"/>
      <c r="P63" s="150"/>
      <c r="Q63" s="151"/>
      <c r="R63" s="155"/>
      <c r="S63" s="156"/>
      <c r="T63" s="156"/>
      <c r="U63" s="156"/>
      <c r="V63" s="156"/>
      <c r="W63" s="156"/>
      <c r="X63" s="156"/>
      <c r="AI63" s="128"/>
      <c r="AJ63" s="128"/>
    </row>
    <row r="64" spans="2:40" ht="21.95" customHeight="1">
      <c r="B64" s="153"/>
      <c r="C64" s="111"/>
      <c r="D64" s="111"/>
      <c r="E64" s="111"/>
      <c r="F64" s="111"/>
      <c r="G64" s="111"/>
      <c r="H64" s="111"/>
      <c r="I64" s="154"/>
      <c r="J64" s="152"/>
      <c r="K64" s="152"/>
      <c r="L64" s="152"/>
      <c r="M64" s="152"/>
      <c r="N64" s="151"/>
      <c r="O64" s="105"/>
      <c r="P64" s="150"/>
      <c r="Q64" s="151"/>
      <c r="R64" s="155"/>
      <c r="S64" s="156"/>
      <c r="T64" s="156"/>
      <c r="U64" s="156"/>
      <c r="V64" s="156"/>
      <c r="W64" s="156"/>
      <c r="X64" s="156"/>
      <c r="AI64" s="128"/>
      <c r="AJ64" s="128"/>
    </row>
    <row r="65" spans="2:36" ht="21.95" customHeight="1">
      <c r="B65" s="105"/>
      <c r="C65" s="93"/>
      <c r="D65" s="93"/>
      <c r="E65" s="93"/>
      <c r="F65" s="93"/>
      <c r="G65" s="93"/>
      <c r="H65" s="93"/>
      <c r="I65" s="93"/>
      <c r="J65" s="156"/>
      <c r="K65" s="156"/>
      <c r="L65" s="156"/>
      <c r="M65" s="156"/>
      <c r="N65" s="155"/>
      <c r="O65" s="105"/>
      <c r="P65" s="157"/>
      <c r="Q65" s="155"/>
      <c r="R65" s="155"/>
      <c r="S65" s="156"/>
      <c r="T65" s="156"/>
      <c r="U65" s="156"/>
      <c r="V65" s="156"/>
      <c r="W65" s="156"/>
      <c r="X65" s="156"/>
      <c r="AI65" s="128"/>
      <c r="AJ65" s="128"/>
    </row>
    <row r="66" spans="2:36" ht="21.95" customHeight="1">
      <c r="B66" s="105"/>
      <c r="C66" s="93"/>
      <c r="D66" s="93"/>
      <c r="E66" s="93"/>
      <c r="F66" s="93"/>
      <c r="G66" s="93"/>
      <c r="H66" s="93"/>
      <c r="I66" s="93"/>
      <c r="J66" s="156"/>
      <c r="K66" s="156"/>
      <c r="L66" s="156"/>
      <c r="M66" s="156"/>
      <c r="N66" s="155"/>
      <c r="O66" s="155"/>
      <c r="P66" s="155"/>
      <c r="Q66" s="155"/>
      <c r="R66" s="155"/>
      <c r="S66" s="156"/>
      <c r="T66" s="156"/>
      <c r="U66" s="156"/>
      <c r="V66" s="156"/>
      <c r="W66" s="156"/>
      <c r="X66" s="156"/>
      <c r="AI66" s="128"/>
      <c r="AJ66" s="128"/>
    </row>
    <row r="67" spans="2:36" ht="21.95" customHeight="1">
      <c r="B67" s="105"/>
      <c r="C67" s="93"/>
      <c r="D67" s="93"/>
      <c r="E67" s="93"/>
      <c r="F67" s="93"/>
      <c r="G67" s="93"/>
      <c r="H67" s="93"/>
      <c r="I67" s="93"/>
      <c r="J67" s="156"/>
      <c r="K67" s="156"/>
      <c r="L67" s="156"/>
      <c r="M67" s="156"/>
      <c r="N67" s="155"/>
      <c r="O67" s="155"/>
      <c r="P67" s="155"/>
      <c r="Q67" s="155"/>
      <c r="R67" s="155"/>
      <c r="S67" s="156"/>
      <c r="T67" s="156"/>
      <c r="U67" s="156"/>
      <c r="V67" s="156"/>
      <c r="W67" s="156"/>
      <c r="X67" s="156"/>
      <c r="AI67" s="128"/>
      <c r="AJ67" s="128"/>
    </row>
    <row r="68" spans="2:36" ht="21.95" customHeight="1">
      <c r="B68" s="105"/>
      <c r="C68" s="93"/>
      <c r="D68" s="93"/>
      <c r="E68" s="93"/>
      <c r="F68" s="93"/>
      <c r="G68" s="93"/>
      <c r="H68" s="93"/>
      <c r="I68" s="93"/>
      <c r="J68" s="156"/>
      <c r="K68" s="156"/>
      <c r="L68" s="156"/>
      <c r="M68" s="156"/>
      <c r="N68" s="155"/>
      <c r="O68" s="155"/>
      <c r="P68" s="155"/>
      <c r="Q68" s="155"/>
      <c r="R68" s="155"/>
      <c r="S68" s="156"/>
      <c r="T68" s="156"/>
      <c r="U68" s="156"/>
      <c r="V68" s="156"/>
      <c r="W68" s="156"/>
      <c r="X68" s="156"/>
      <c r="AI68" s="128"/>
      <c r="AJ68" s="128"/>
    </row>
    <row r="69" spans="2:36" ht="21.95" customHeight="1">
      <c r="B69" s="105"/>
      <c r="C69" s="93"/>
      <c r="D69" s="93"/>
      <c r="E69" s="93"/>
      <c r="F69" s="93"/>
      <c r="G69" s="93"/>
      <c r="H69" s="93"/>
      <c r="I69" s="93"/>
      <c r="J69" s="156"/>
      <c r="K69" s="156"/>
      <c r="L69" s="156"/>
      <c r="M69" s="156"/>
      <c r="N69" s="155"/>
      <c r="O69" s="155"/>
      <c r="P69" s="155"/>
      <c r="Q69" s="155"/>
      <c r="R69" s="155"/>
      <c r="S69" s="156"/>
      <c r="T69" s="156"/>
      <c r="U69" s="156"/>
      <c r="V69" s="156"/>
      <c r="W69" s="156"/>
      <c r="X69" s="156"/>
      <c r="AI69" s="128"/>
      <c r="AJ69" s="128"/>
    </row>
    <row r="70" spans="2:36" ht="21.95" customHeight="1">
      <c r="B70" s="105"/>
      <c r="C70" s="93"/>
      <c r="D70" s="93"/>
      <c r="E70" s="93"/>
      <c r="F70" s="93"/>
      <c r="G70" s="93"/>
      <c r="H70" s="93"/>
      <c r="I70" s="93"/>
      <c r="J70" s="156"/>
      <c r="K70" s="156"/>
      <c r="L70" s="156"/>
      <c r="M70" s="156"/>
      <c r="N70" s="155"/>
      <c r="O70" s="155"/>
      <c r="P70" s="155"/>
      <c r="Q70" s="155"/>
      <c r="R70" s="155"/>
      <c r="S70" s="156"/>
      <c r="T70" s="156"/>
      <c r="U70" s="156"/>
      <c r="V70" s="156"/>
      <c r="W70" s="156"/>
      <c r="X70" s="156"/>
      <c r="AI70" s="128"/>
      <c r="AJ70" s="128"/>
    </row>
    <row r="71" spans="2:36" ht="21.95" customHeight="1">
      <c r="B71" s="105"/>
      <c r="C71" s="93"/>
      <c r="D71" s="93"/>
      <c r="E71" s="93"/>
      <c r="F71" s="93"/>
      <c r="G71" s="93"/>
      <c r="H71" s="93"/>
      <c r="I71" s="93"/>
      <c r="J71" s="156"/>
      <c r="K71" s="156"/>
      <c r="L71" s="156"/>
      <c r="M71" s="156"/>
      <c r="N71" s="155"/>
      <c r="O71" s="155"/>
      <c r="P71" s="155"/>
      <c r="Q71" s="155"/>
      <c r="R71" s="155"/>
      <c r="S71" s="156"/>
      <c r="T71" s="156"/>
      <c r="U71" s="156"/>
      <c r="V71" s="156"/>
      <c r="W71" s="156"/>
      <c r="X71" s="156"/>
    </row>
    <row r="72" spans="2:36" ht="21.95" customHeight="1">
      <c r="B72" s="105"/>
      <c r="C72" s="93"/>
      <c r="D72" s="93"/>
      <c r="E72" s="93"/>
      <c r="F72" s="93"/>
      <c r="G72" s="93"/>
      <c r="H72" s="93"/>
      <c r="I72" s="93"/>
      <c r="J72" s="156"/>
      <c r="K72" s="156"/>
      <c r="L72" s="156"/>
      <c r="M72" s="156"/>
      <c r="N72" s="155"/>
      <c r="O72" s="155"/>
      <c r="P72" s="155"/>
      <c r="Q72" s="155"/>
      <c r="R72" s="155"/>
      <c r="S72" s="156"/>
      <c r="T72" s="156"/>
      <c r="U72" s="156"/>
      <c r="V72" s="156"/>
      <c r="W72" s="156"/>
      <c r="X72" s="156"/>
    </row>
    <row r="73" spans="2:36" ht="21.95" customHeight="1">
      <c r="B73" s="105"/>
      <c r="C73" s="93"/>
      <c r="D73" s="93"/>
      <c r="E73" s="93"/>
      <c r="F73" s="93"/>
      <c r="G73" s="93"/>
      <c r="H73" s="93"/>
      <c r="I73" s="93"/>
      <c r="J73" s="156"/>
      <c r="K73" s="156"/>
      <c r="L73" s="156"/>
      <c r="M73" s="156"/>
      <c r="N73" s="155"/>
      <c r="O73" s="155"/>
      <c r="P73" s="155"/>
      <c r="Q73" s="155"/>
      <c r="R73" s="155"/>
      <c r="S73" s="156"/>
      <c r="T73" s="156"/>
      <c r="U73" s="156"/>
      <c r="V73" s="156"/>
      <c r="W73" s="156"/>
      <c r="X73" s="156"/>
    </row>
    <row r="74" spans="2:36" ht="21.95" customHeight="1">
      <c r="B74" s="105"/>
      <c r="C74" s="93"/>
      <c r="D74" s="93"/>
      <c r="E74" s="93"/>
      <c r="F74" s="93"/>
      <c r="G74" s="93"/>
      <c r="H74" s="93"/>
      <c r="I74" s="93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</row>
    <row r="75" spans="2:36" ht="20.100000000000001" customHeight="1">
      <c r="B75" s="105"/>
      <c r="C75" s="93"/>
      <c r="D75" s="93"/>
      <c r="E75" s="93"/>
      <c r="F75" s="93"/>
      <c r="G75" s="93"/>
      <c r="H75" s="93"/>
      <c r="I75" s="93"/>
      <c r="J75" s="156"/>
      <c r="K75" s="156"/>
      <c r="L75" s="156"/>
      <c r="M75" s="156"/>
      <c r="N75" s="156"/>
      <c r="O75" s="156"/>
      <c r="P75" s="156"/>
      <c r="Q75" s="156"/>
    </row>
    <row r="76" spans="2:36" ht="20.100000000000001" customHeight="1">
      <c r="B76" s="105"/>
      <c r="C76" s="93"/>
      <c r="D76" s="93"/>
      <c r="E76" s="93"/>
      <c r="F76" s="93"/>
      <c r="G76" s="93"/>
      <c r="H76" s="93"/>
      <c r="I76" s="93"/>
      <c r="J76" s="156"/>
      <c r="K76" s="156"/>
      <c r="L76" s="156"/>
      <c r="M76" s="156"/>
      <c r="N76" s="156"/>
      <c r="O76" s="156"/>
      <c r="P76" s="156"/>
      <c r="Q76" s="156"/>
    </row>
    <row r="77" spans="2:36" ht="20.100000000000001" customHeight="1"/>
    <row r="78" spans="2:36" ht="20.100000000000001" customHeight="1"/>
    <row r="79" spans="2:36" ht="20.100000000000001" customHeight="1"/>
    <row r="80" spans="2:36" ht="20.100000000000001" customHeight="1"/>
    <row r="81" spans="3:4" ht="20.100000000000001" customHeight="1"/>
    <row r="82" spans="3:4" ht="20.100000000000001" customHeight="1"/>
    <row r="86" spans="3:4">
      <c r="C86" s="158"/>
    </row>
    <row r="87" spans="3:4">
      <c r="C87" s="159"/>
    </row>
    <row r="88" spans="3:4">
      <c r="D88" s="152"/>
    </row>
    <row r="89" spans="3:4">
      <c r="D89" s="160"/>
    </row>
    <row r="90" spans="3:4">
      <c r="D90" s="160"/>
    </row>
    <row r="129" spans="3:4">
      <c r="C129">
        <v>9590</v>
      </c>
      <c r="D129">
        <f>9*140</f>
        <v>1260</v>
      </c>
    </row>
    <row r="130" spans="3:4">
      <c r="C130">
        <v>9590</v>
      </c>
      <c r="D130">
        <v>1260</v>
      </c>
    </row>
    <row r="131" spans="3:4">
      <c r="C131">
        <v>9590</v>
      </c>
      <c r="D131">
        <v>1260</v>
      </c>
    </row>
    <row r="132" spans="3:4">
      <c r="C132">
        <f>+C129+C130+C131</f>
        <v>28770</v>
      </c>
      <c r="D132">
        <f>+D129+D130+D131</f>
        <v>3780</v>
      </c>
    </row>
    <row r="133" spans="3:4">
      <c r="C133">
        <f>+C132+D132</f>
        <v>32550</v>
      </c>
      <c r="D133">
        <f>+C133-5500</f>
        <v>27050</v>
      </c>
    </row>
  </sheetData>
  <mergeCells count="40">
    <mergeCell ref="K25:L25"/>
    <mergeCell ref="I63:I64"/>
    <mergeCell ref="B24:B28"/>
    <mergeCell ref="C24:D24"/>
    <mergeCell ref="E24:F24"/>
    <mergeCell ref="G24:H24"/>
    <mergeCell ref="I24:J24"/>
    <mergeCell ref="K24:L24"/>
    <mergeCell ref="C25:D25"/>
    <mergeCell ref="E25:F25"/>
    <mergeCell ref="G25:H25"/>
    <mergeCell ref="I25:J25"/>
    <mergeCell ref="W5:X5"/>
    <mergeCell ref="Y5:Z5"/>
    <mergeCell ref="AA5:AB5"/>
    <mergeCell ref="AC5:AD5"/>
    <mergeCell ref="AJ8:AM8"/>
    <mergeCell ref="AN8:AQ8"/>
    <mergeCell ref="K5:L5"/>
    <mergeCell ref="M5:N5"/>
    <mergeCell ref="O5:P5"/>
    <mergeCell ref="Q5:R5"/>
    <mergeCell ref="S5:T5"/>
    <mergeCell ref="U5:V5"/>
    <mergeCell ref="Q4:T4"/>
    <mergeCell ref="U4:V4"/>
    <mergeCell ref="W4:X4"/>
    <mergeCell ref="Y4:Z4"/>
    <mergeCell ref="AA4:AB4"/>
    <mergeCell ref="AC4:AD4"/>
    <mergeCell ref="A1:A43"/>
    <mergeCell ref="B4:B8"/>
    <mergeCell ref="C4:F4"/>
    <mergeCell ref="G4:J4"/>
    <mergeCell ref="K4:N4"/>
    <mergeCell ref="O4:P4"/>
    <mergeCell ref="C5:D5"/>
    <mergeCell ref="E5:F5"/>
    <mergeCell ref="G5:H5"/>
    <mergeCell ref="I5:J5"/>
  </mergeCells>
  <printOptions horizontalCentered="1"/>
  <pageMargins left="0.15748031496062992" right="3.937007874015748E-2" top="0.78740157480314965" bottom="0.31496062992125984" header="0.19685039370078741" footer="0.15748031496062992"/>
  <pageSetup paperSize="9" scale="4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3"/>
  <sheetViews>
    <sheetView view="pageBreakPreview" zoomScale="75" zoomScaleNormal="100" zoomScaleSheetLayoutView="75" workbookViewId="0">
      <selection activeCell="Q55" sqref="Q55"/>
    </sheetView>
  </sheetViews>
  <sheetFormatPr defaultColWidth="10.28515625" defaultRowHeight="12.75"/>
  <cols>
    <col min="1" max="1" width="7.42578125" customWidth="1"/>
    <col min="2" max="2" width="4.28515625" customWidth="1"/>
    <col min="3" max="3" width="10.85546875" customWidth="1"/>
    <col min="4" max="4" width="9.7109375" customWidth="1"/>
    <col min="5" max="5" width="11.7109375" customWidth="1"/>
    <col min="6" max="6" width="10.7109375" customWidth="1"/>
    <col min="7" max="10" width="11.28515625" customWidth="1"/>
    <col min="11" max="14" width="11.140625" customWidth="1"/>
    <col min="15" max="15" width="11.42578125" customWidth="1"/>
    <col min="16" max="16" width="10.5703125" customWidth="1"/>
    <col min="17" max="17" width="10.7109375" customWidth="1"/>
    <col min="18" max="18" width="10.28515625" customWidth="1"/>
    <col min="19" max="20" width="10.7109375" customWidth="1"/>
    <col min="21" max="21" width="11.7109375" customWidth="1"/>
    <col min="22" max="22" width="11" customWidth="1"/>
    <col min="23" max="24" width="10.5703125" customWidth="1"/>
    <col min="25" max="26" width="12.140625" customWidth="1"/>
    <col min="27" max="27" width="10.28515625" customWidth="1"/>
    <col min="28" max="28" width="9.7109375" customWidth="1"/>
    <col min="29" max="29" width="10.7109375" customWidth="1"/>
    <col min="30" max="30" width="10" customWidth="1"/>
    <col min="31" max="32" width="9.85546875" customWidth="1"/>
    <col min="33" max="33" width="10.28515625" customWidth="1"/>
    <col min="34" max="34" width="6.140625" customWidth="1"/>
    <col min="35" max="35" width="56.5703125" customWidth="1"/>
    <col min="36" max="36" width="11.140625" customWidth="1"/>
  </cols>
  <sheetData>
    <row r="1" spans="1:43" ht="30" customHeight="1">
      <c r="A1" s="1">
        <v>55</v>
      </c>
      <c r="B1" s="2" t="s">
        <v>62</v>
      </c>
      <c r="C1" s="3"/>
      <c r="D1" s="3"/>
      <c r="E1" s="3"/>
      <c r="F1" s="3"/>
      <c r="G1" s="3"/>
      <c r="H1" s="3"/>
      <c r="I1" s="3"/>
      <c r="J1" s="3"/>
      <c r="K1" s="3"/>
      <c r="L1" s="3"/>
      <c r="M1" s="2" t="str">
        <f>+[81]NUTS3!$A$101</f>
        <v>Celkem ČR</v>
      </c>
      <c r="P1" s="4"/>
      <c r="Q1" s="196"/>
      <c r="R1" s="5"/>
      <c r="S1" s="6"/>
      <c r="T1" s="7"/>
      <c r="U1" s="7"/>
      <c r="V1" s="8"/>
      <c r="W1" s="9"/>
      <c r="X1" s="9"/>
      <c r="Y1" s="9"/>
      <c r="Z1" s="161"/>
      <c r="AA1" s="9"/>
      <c r="AB1" s="3"/>
      <c r="AC1" s="3"/>
      <c r="AD1" s="3"/>
      <c r="AI1" s="10"/>
      <c r="AJ1" s="11"/>
      <c r="AK1" s="11"/>
      <c r="AL1" s="11"/>
    </row>
    <row r="2" spans="1:43" ht="13.5" customHeight="1">
      <c r="A2" s="1"/>
      <c r="B2" s="4"/>
      <c r="D2" s="12"/>
      <c r="E2" s="13"/>
      <c r="F2" s="12"/>
      <c r="G2" s="12"/>
      <c r="H2" s="12"/>
      <c r="I2" s="12"/>
      <c r="J2" s="12"/>
      <c r="K2" s="12"/>
      <c r="L2" s="12"/>
      <c r="M2" s="12"/>
      <c r="P2" s="12"/>
      <c r="Q2" s="162"/>
      <c r="R2" s="5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I2" s="11"/>
      <c r="AJ2" s="11"/>
      <c r="AK2" s="11"/>
      <c r="AL2" s="11"/>
    </row>
    <row r="3" spans="1:43" ht="15.75" customHeight="1" thickBot="1">
      <c r="A3" s="1"/>
      <c r="B3" s="3"/>
      <c r="F3" s="5"/>
      <c r="G3" s="163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G3" s="14"/>
      <c r="AI3" s="15"/>
      <c r="AJ3" s="16"/>
      <c r="AK3" s="17"/>
      <c r="AL3" s="11"/>
    </row>
    <row r="4" spans="1:43" s="31" customFormat="1" ht="81.75" customHeight="1" thickTop="1">
      <c r="A4" s="1"/>
      <c r="B4" s="18" t="s">
        <v>1</v>
      </c>
      <c r="C4" s="19" t="s">
        <v>63</v>
      </c>
      <c r="D4" s="19"/>
      <c r="E4" s="19"/>
      <c r="F4" s="20"/>
      <c r="G4" s="21" t="s">
        <v>64</v>
      </c>
      <c r="H4" s="19"/>
      <c r="I4" s="19"/>
      <c r="J4" s="20"/>
      <c r="K4" s="21" t="s">
        <v>65</v>
      </c>
      <c r="L4" s="19"/>
      <c r="M4" s="19"/>
      <c r="N4" s="20"/>
      <c r="O4" s="21" t="s">
        <v>66</v>
      </c>
      <c r="P4" s="20"/>
      <c r="Q4" s="22" t="s">
        <v>67</v>
      </c>
      <c r="R4" s="23"/>
      <c r="S4" s="23"/>
      <c r="T4" s="24"/>
      <c r="U4" s="19" t="s">
        <v>8</v>
      </c>
      <c r="V4" s="19"/>
      <c r="W4" s="21" t="s">
        <v>44</v>
      </c>
      <c r="X4" s="20"/>
      <c r="Y4" s="21" t="s">
        <v>68</v>
      </c>
      <c r="Z4" s="20"/>
      <c r="AA4" s="21" t="s">
        <v>69</v>
      </c>
      <c r="AB4" s="20"/>
      <c r="AC4" s="19" t="s">
        <v>46</v>
      </c>
      <c r="AD4" s="25"/>
      <c r="AG4" s="26"/>
      <c r="AH4" s="26"/>
      <c r="AI4" s="27"/>
      <c r="AJ4" s="28"/>
      <c r="AK4" s="29"/>
      <c r="AL4" s="30"/>
    </row>
    <row r="5" spans="1:43" ht="24" customHeight="1" thickBot="1">
      <c r="A5" s="1"/>
      <c r="B5" s="32"/>
      <c r="C5" s="33" t="s">
        <v>12</v>
      </c>
      <c r="D5" s="34"/>
      <c r="E5" s="35" t="s">
        <v>13</v>
      </c>
      <c r="F5" s="36"/>
      <c r="G5" s="37" t="s">
        <v>12</v>
      </c>
      <c r="H5" s="34"/>
      <c r="I5" s="35" t="s">
        <v>13</v>
      </c>
      <c r="J5" s="36"/>
      <c r="K5" s="37" t="s">
        <v>12</v>
      </c>
      <c r="L5" s="34"/>
      <c r="M5" s="35" t="s">
        <v>13</v>
      </c>
      <c r="N5" s="36"/>
      <c r="O5" s="37" t="s">
        <v>13</v>
      </c>
      <c r="P5" s="36"/>
      <c r="Q5" s="37" t="s">
        <v>12</v>
      </c>
      <c r="R5" s="34"/>
      <c r="S5" s="35" t="s">
        <v>13</v>
      </c>
      <c r="T5" s="36"/>
      <c r="U5" s="38" t="s">
        <v>13</v>
      </c>
      <c r="V5" s="38"/>
      <c r="W5" s="37" t="s">
        <v>70</v>
      </c>
      <c r="X5" s="36"/>
      <c r="Y5" s="37" t="s">
        <v>47</v>
      </c>
      <c r="Z5" s="36"/>
      <c r="AA5" s="37" t="s">
        <v>14</v>
      </c>
      <c r="AB5" s="36"/>
      <c r="AC5" s="38" t="s">
        <v>48</v>
      </c>
      <c r="AD5" s="39"/>
      <c r="AG5" s="40"/>
      <c r="AH5" s="41"/>
      <c r="AI5" s="40"/>
      <c r="AJ5" s="42"/>
      <c r="AK5" s="43"/>
    </row>
    <row r="6" spans="1:43" ht="21.95" customHeight="1">
      <c r="A6" s="1"/>
      <c r="B6" s="32"/>
      <c r="C6" s="44" t="s">
        <v>15</v>
      </c>
      <c r="D6" s="45" t="s">
        <v>16</v>
      </c>
      <c r="E6" s="45" t="s">
        <v>15</v>
      </c>
      <c r="F6" s="46" t="s">
        <v>16</v>
      </c>
      <c r="G6" s="44" t="s">
        <v>15</v>
      </c>
      <c r="H6" s="45" t="s">
        <v>16</v>
      </c>
      <c r="I6" s="45" t="s">
        <v>15</v>
      </c>
      <c r="J6" s="47" t="s">
        <v>16</v>
      </c>
      <c r="K6" s="48" t="s">
        <v>15</v>
      </c>
      <c r="L6" s="45" t="s">
        <v>16</v>
      </c>
      <c r="M6" s="45" t="s">
        <v>15</v>
      </c>
      <c r="N6" s="49" t="s">
        <v>16</v>
      </c>
      <c r="O6" s="50" t="s">
        <v>15</v>
      </c>
      <c r="P6" s="47" t="s">
        <v>16</v>
      </c>
      <c r="Q6" s="164" t="s">
        <v>15</v>
      </c>
      <c r="R6" s="45" t="s">
        <v>16</v>
      </c>
      <c r="S6" s="45" t="s">
        <v>15</v>
      </c>
      <c r="T6" s="49" t="s">
        <v>16</v>
      </c>
      <c r="U6" s="53" t="s">
        <v>15</v>
      </c>
      <c r="V6" s="51" t="s">
        <v>16</v>
      </c>
      <c r="W6" s="54" t="s">
        <v>15</v>
      </c>
      <c r="X6" s="47" t="s">
        <v>16</v>
      </c>
      <c r="Y6" s="54" t="s">
        <v>15</v>
      </c>
      <c r="Z6" s="47" t="s">
        <v>16</v>
      </c>
      <c r="AA6" s="54" t="s">
        <v>15</v>
      </c>
      <c r="AB6" s="47" t="s">
        <v>16</v>
      </c>
      <c r="AC6" s="53" t="s">
        <v>15</v>
      </c>
      <c r="AD6" s="55" t="s">
        <v>16</v>
      </c>
      <c r="AG6" s="40"/>
      <c r="AH6" s="41"/>
      <c r="AI6" s="40"/>
      <c r="AJ6" s="42"/>
      <c r="AK6" s="43"/>
    </row>
    <row r="7" spans="1:43" ht="21.95" customHeight="1">
      <c r="A7" s="1"/>
      <c r="B7" s="32"/>
      <c r="C7" s="44" t="s">
        <v>17</v>
      </c>
      <c r="D7" s="45" t="s">
        <v>18</v>
      </c>
      <c r="E7" s="45" t="s">
        <v>17</v>
      </c>
      <c r="F7" s="46" t="s">
        <v>18</v>
      </c>
      <c r="G7" s="44" t="s">
        <v>17</v>
      </c>
      <c r="H7" s="45" t="s">
        <v>18</v>
      </c>
      <c r="I7" s="45" t="s">
        <v>17</v>
      </c>
      <c r="J7" s="47" t="s">
        <v>18</v>
      </c>
      <c r="K7" s="48" t="s">
        <v>17</v>
      </c>
      <c r="L7" s="45" t="s">
        <v>18</v>
      </c>
      <c r="M7" s="45" t="s">
        <v>17</v>
      </c>
      <c r="N7" s="49" t="s">
        <v>18</v>
      </c>
      <c r="O7" s="50" t="s">
        <v>17</v>
      </c>
      <c r="P7" s="47" t="s">
        <v>18</v>
      </c>
      <c r="Q7" s="164" t="s">
        <v>17</v>
      </c>
      <c r="R7" s="45" t="s">
        <v>18</v>
      </c>
      <c r="S7" s="45" t="s">
        <v>17</v>
      </c>
      <c r="T7" s="49" t="s">
        <v>18</v>
      </c>
      <c r="U7" s="53" t="s">
        <v>17</v>
      </c>
      <c r="V7" s="51" t="s">
        <v>18</v>
      </c>
      <c r="W7" s="54" t="s">
        <v>17</v>
      </c>
      <c r="X7" s="47" t="s">
        <v>18</v>
      </c>
      <c r="Y7" s="54" t="s">
        <v>17</v>
      </c>
      <c r="Z7" s="47" t="s">
        <v>18</v>
      </c>
      <c r="AA7" s="54" t="s">
        <v>17</v>
      </c>
      <c r="AB7" s="47" t="s">
        <v>18</v>
      </c>
      <c r="AC7" s="53" t="s">
        <v>17</v>
      </c>
      <c r="AD7" s="55" t="s">
        <v>18</v>
      </c>
      <c r="AG7" s="40"/>
      <c r="AH7" s="41"/>
      <c r="AI7" s="40"/>
      <c r="AJ7" s="42"/>
      <c r="AK7" s="43"/>
    </row>
    <row r="8" spans="1:43" ht="21.95" customHeight="1" thickBot="1">
      <c r="A8" s="1"/>
      <c r="B8" s="56"/>
      <c r="C8" s="57" t="s">
        <v>19</v>
      </c>
      <c r="D8" s="58" t="s">
        <v>20</v>
      </c>
      <c r="E8" s="58" t="s">
        <v>19</v>
      </c>
      <c r="F8" s="59" t="s">
        <v>20</v>
      </c>
      <c r="G8" s="57" t="s">
        <v>19</v>
      </c>
      <c r="H8" s="58" t="s">
        <v>20</v>
      </c>
      <c r="I8" s="58" t="s">
        <v>19</v>
      </c>
      <c r="J8" s="60" t="s">
        <v>20</v>
      </c>
      <c r="K8" s="61" t="s">
        <v>19</v>
      </c>
      <c r="L8" s="58" t="s">
        <v>20</v>
      </c>
      <c r="M8" s="58" t="s">
        <v>19</v>
      </c>
      <c r="N8" s="62" t="s">
        <v>20</v>
      </c>
      <c r="O8" s="63" t="s">
        <v>19</v>
      </c>
      <c r="P8" s="60" t="s">
        <v>20</v>
      </c>
      <c r="Q8" s="165" t="s">
        <v>19</v>
      </c>
      <c r="R8" s="58" t="s">
        <v>20</v>
      </c>
      <c r="S8" s="58" t="s">
        <v>19</v>
      </c>
      <c r="T8" s="62" t="s">
        <v>20</v>
      </c>
      <c r="U8" s="66" t="s">
        <v>19</v>
      </c>
      <c r="V8" s="64" t="s">
        <v>20</v>
      </c>
      <c r="W8" s="67" t="s">
        <v>19</v>
      </c>
      <c r="X8" s="60" t="s">
        <v>20</v>
      </c>
      <c r="Y8" s="67" t="s">
        <v>19</v>
      </c>
      <c r="Z8" s="60" t="s">
        <v>20</v>
      </c>
      <c r="AA8" s="67" t="s">
        <v>19</v>
      </c>
      <c r="AB8" s="60" t="s">
        <v>20</v>
      </c>
      <c r="AC8" s="66" t="s">
        <v>19</v>
      </c>
      <c r="AD8" s="68" t="s">
        <v>20</v>
      </c>
      <c r="AG8" s="40"/>
      <c r="AH8" s="41"/>
      <c r="AI8" s="40"/>
      <c r="AJ8" s="197"/>
      <c r="AK8" s="197"/>
      <c r="AL8" s="197"/>
      <c r="AM8" s="197"/>
      <c r="AN8" s="198"/>
      <c r="AO8" s="198"/>
      <c r="AP8" s="198"/>
      <c r="AQ8" s="198"/>
    </row>
    <row r="9" spans="1:43" ht="25.5" customHeight="1" thickTop="1">
      <c r="A9" s="1"/>
      <c r="B9" s="69">
        <v>1</v>
      </c>
      <c r="C9" s="70">
        <f>+[81]NUTS3!$E$101</f>
        <v>3020</v>
      </c>
      <c r="D9" s="71">
        <f>+[81]NUTS3!$F$101</f>
        <v>50</v>
      </c>
      <c r="E9" s="71">
        <f>+[81]NUTS3!$J$101</f>
        <v>2813</v>
      </c>
      <c r="F9" s="72">
        <f>+[81]NUTS3!$K$101</f>
        <v>46</v>
      </c>
      <c r="G9" s="73">
        <f>+[81]NUTS3!$T$101</f>
        <v>197</v>
      </c>
      <c r="H9" s="71">
        <f>+[81]NUTS3!$U$101</f>
        <v>1</v>
      </c>
      <c r="I9" s="71">
        <f>+[81]NUTS3!$Y$101</f>
        <v>228</v>
      </c>
      <c r="J9" s="74">
        <f>+[81]NUTS3!$Z$101</f>
        <v>77</v>
      </c>
      <c r="K9" s="75">
        <f>+[81]NUTS3!$AI$101</f>
        <v>4145</v>
      </c>
      <c r="L9" s="71">
        <f>+[81]NUTS3!$AJ$101</f>
        <v>122</v>
      </c>
      <c r="M9" s="71">
        <f>+[81]NUTS3!$AN$101</f>
        <v>4050</v>
      </c>
      <c r="N9" s="75">
        <f>+[81]NUTS3!$AO$101</f>
        <v>117</v>
      </c>
      <c r="O9" s="76">
        <f>+[81]NUTS3!$AX$101</f>
        <v>2751</v>
      </c>
      <c r="P9" s="75">
        <f>+[81]NUTS3!$AY$101</f>
        <v>72</v>
      </c>
      <c r="Q9" s="73">
        <f>+[81]NUTS3!$BH$101+[81]NUTS3!$BW$101</f>
        <v>1255</v>
      </c>
      <c r="R9" s="71">
        <f>+[81]NUTS3!$BI$101+[81]NUTS3!$BX$101</f>
        <v>0</v>
      </c>
      <c r="S9" s="71">
        <f>+[81]NUTS3!$BM$101+[81]NUTS3!$CB$101</f>
        <v>1139</v>
      </c>
      <c r="T9" s="77">
        <f>+[81]NUTS3!$BN$101+[81]NUTS3!$CC$101</f>
        <v>62</v>
      </c>
      <c r="U9" s="72">
        <f>+[81]NUTS3!$CL$101</f>
        <v>45</v>
      </c>
      <c r="V9" s="75">
        <f>+[81]NUTS3!$CM$101</f>
        <v>0</v>
      </c>
      <c r="W9" s="76">
        <f>+[81]NUTS3!$CQ$101</f>
        <v>74</v>
      </c>
      <c r="X9" s="77">
        <f>+[81]NUTS3!$CR$101</f>
        <v>21</v>
      </c>
      <c r="Y9" s="85">
        <f>+[81]NUTS3!$FS$101</f>
        <v>38498</v>
      </c>
      <c r="Z9" s="83">
        <f>+[81]NUTS3!$FT$101</f>
        <v>1290</v>
      </c>
      <c r="AA9" s="76">
        <f>+[81]NUTS3!$DP$101</f>
        <v>21</v>
      </c>
      <c r="AB9" s="74">
        <f>+[81]NUTS3!$DQ$101</f>
        <v>2</v>
      </c>
      <c r="AC9" s="72">
        <f>+[81]NUTS3!$DF$101</f>
        <v>129</v>
      </c>
      <c r="AD9" s="87">
        <f>+[81]NUTS3!$DG$101</f>
        <v>6</v>
      </c>
      <c r="AG9" s="40"/>
      <c r="AH9" s="40"/>
      <c r="AI9" s="40"/>
      <c r="AJ9" s="28"/>
      <c r="AK9" s="28"/>
      <c r="AL9" s="28"/>
      <c r="AM9" s="28"/>
      <c r="AN9" s="199"/>
      <c r="AO9" s="199"/>
      <c r="AP9" s="199"/>
      <c r="AQ9" s="199"/>
    </row>
    <row r="10" spans="1:43" ht="25.5" customHeight="1">
      <c r="A10" s="1"/>
      <c r="B10" s="69">
        <v>2</v>
      </c>
      <c r="C10" s="79">
        <f>+[82]NUTS3!$E$101</f>
        <v>2955</v>
      </c>
      <c r="D10" s="80">
        <f>+[82]NUTS3!$F$101</f>
        <v>309</v>
      </c>
      <c r="E10" s="80">
        <f>+[82]NUTS3!$J$101</f>
        <v>2643</v>
      </c>
      <c r="F10" s="81">
        <f>+[82]NUTS3!$K$101</f>
        <v>192</v>
      </c>
      <c r="G10" s="82">
        <f>+[82]NUTS3!$T$101</f>
        <v>135</v>
      </c>
      <c r="H10" s="80">
        <f>+[82]NUTS3!$U$101</f>
        <v>9</v>
      </c>
      <c r="I10" s="80">
        <f>+[82]NUTS3!$Y$101</f>
        <v>200</v>
      </c>
      <c r="J10" s="83">
        <f>+[82]NUTS3!$Z$101</f>
        <v>98</v>
      </c>
      <c r="K10" s="84">
        <f>+[82]NUTS3!$AI$101</f>
        <v>3999</v>
      </c>
      <c r="L10" s="80">
        <f>+[82]NUTS3!$AJ$101</f>
        <v>666</v>
      </c>
      <c r="M10" s="80">
        <f>+[82]NUTS3!$AN$101</f>
        <v>3906</v>
      </c>
      <c r="N10" s="84">
        <f>+[82]NUTS3!$AO$101</f>
        <v>668</v>
      </c>
      <c r="O10" s="85">
        <f>+[82]NUTS3!$AX$101</f>
        <v>2744</v>
      </c>
      <c r="P10" s="84">
        <f>+[82]NUTS3!$AY$101</f>
        <v>198</v>
      </c>
      <c r="Q10" s="82">
        <f>+[82]NUTS3!$BH$101+[82]NUTS3!$BW$101</f>
        <v>1250</v>
      </c>
      <c r="R10" s="80">
        <f>+[82]NUTS3!$BI$101+[82]NUTS3!$BX$101</f>
        <v>52</v>
      </c>
      <c r="S10" s="80">
        <f>+[82]NUTS3!$BM$101+[82]NUTS3!$CB$101</f>
        <v>1143</v>
      </c>
      <c r="T10" s="86">
        <f>+[82]NUTS3!$BN$101+[82]NUTS3!$CC$101</f>
        <v>117</v>
      </c>
      <c r="U10" s="81">
        <f>+[82]NUTS3!$CL$101</f>
        <v>49</v>
      </c>
      <c r="V10" s="84">
        <f>+[82]NUTS3!$CM$101</f>
        <v>4</v>
      </c>
      <c r="W10" s="85">
        <f>+[82]NUTS3!$CQ$101</f>
        <v>93</v>
      </c>
      <c r="X10" s="86">
        <f>+[82]NUTS3!$CR$101</f>
        <v>79</v>
      </c>
      <c r="Y10" s="85">
        <f>+[82]NUTS3!$FS$101</f>
        <v>38844</v>
      </c>
      <c r="Z10" s="83">
        <f>+[82]NUTS3!$FT$101</f>
        <v>1690</v>
      </c>
      <c r="AA10" s="85">
        <f>+[82]NUTS3!$DP$101</f>
        <v>17</v>
      </c>
      <c r="AB10" s="83">
        <f>+[82]NUTS3!$DQ$101</f>
        <v>2</v>
      </c>
      <c r="AC10" s="81">
        <f>+[82]NUTS3!$DF$101</f>
        <v>122</v>
      </c>
      <c r="AD10" s="87">
        <f>+[82]NUTS3!$DG$101</f>
        <v>13</v>
      </c>
      <c r="AG10" s="40"/>
      <c r="AH10" s="40"/>
      <c r="AI10" s="40"/>
      <c r="AJ10" s="28"/>
      <c r="AK10" s="28"/>
      <c r="AL10" s="28"/>
      <c r="AM10" s="28"/>
      <c r="AN10" s="199"/>
      <c r="AO10" s="199"/>
      <c r="AP10" s="199"/>
      <c r="AQ10" s="199"/>
    </row>
    <row r="11" spans="1:43" ht="25.5" customHeight="1">
      <c r="A11" s="1"/>
      <c r="B11" s="69">
        <v>3</v>
      </c>
      <c r="C11" s="79">
        <f>+[83]NUTS3!$E$101</f>
        <v>3309</v>
      </c>
      <c r="D11" s="80">
        <f>+[83]NUTS3!$F$101</f>
        <v>1309</v>
      </c>
      <c r="E11" s="80">
        <f>+[83]NUTS3!$J$101</f>
        <v>2736</v>
      </c>
      <c r="F11" s="81">
        <f>+[83]NUTS3!$K$101</f>
        <v>902</v>
      </c>
      <c r="G11" s="82">
        <f>+[83]NUTS3!$T$101</f>
        <v>135</v>
      </c>
      <c r="H11" s="80">
        <f>+[83]NUTS3!$U$101</f>
        <v>9</v>
      </c>
      <c r="I11" s="80">
        <f>+[83]NUTS3!$Y$101</f>
        <v>199</v>
      </c>
      <c r="J11" s="83">
        <f>+[83]NUTS3!$Z$101</f>
        <v>98</v>
      </c>
      <c r="K11" s="84">
        <f>+[83]NUTS3!$AI$101</f>
        <v>4304</v>
      </c>
      <c r="L11" s="80">
        <f>+[83]NUTS3!$AJ$101</f>
        <v>1493</v>
      </c>
      <c r="M11" s="80">
        <f>+[83]NUTS3!$AN$101</f>
        <v>4179</v>
      </c>
      <c r="N11" s="84">
        <f>+[83]NUTS3!$AO$101</f>
        <v>1514</v>
      </c>
      <c r="O11" s="85">
        <f>+[83]NUTS3!$AX$101</f>
        <v>2835</v>
      </c>
      <c r="P11" s="84">
        <f>+[83]NUTS3!$AY$101</f>
        <v>437</v>
      </c>
      <c r="Q11" s="82">
        <f>+[83]NUTS3!$BH$101+[83]NUTS3!$BW$101</f>
        <v>1293</v>
      </c>
      <c r="R11" s="80">
        <f>+[83]NUTS3!$BI$101+[83]NUTS3!$BX$101</f>
        <v>103</v>
      </c>
      <c r="S11" s="80">
        <f>+[83]NUTS3!$BM$101+[83]NUTS3!$CB$101</f>
        <v>1170</v>
      </c>
      <c r="T11" s="86">
        <f>+[83]NUTS3!$BN$101+[83]NUTS3!$CC$101</f>
        <v>171</v>
      </c>
      <c r="U11" s="81">
        <f>+[83]NUTS3!$CL$101</f>
        <v>49</v>
      </c>
      <c r="V11" s="84">
        <f>+[83]NUTS3!$CM$101</f>
        <v>5</v>
      </c>
      <c r="W11" s="85">
        <f>+[83]NUTS3!$CQ$101</f>
        <v>99</v>
      </c>
      <c r="X11" s="86">
        <f>+[83]NUTS3!$CR$101</f>
        <v>85</v>
      </c>
      <c r="Y11" s="85">
        <f>+[83]NUTS3!$FS$101</f>
        <v>39497</v>
      </c>
      <c r="Z11" s="83">
        <f>+[83]NUTS3!$FT$101</f>
        <v>2353</v>
      </c>
      <c r="AA11" s="85">
        <f>+[83]NUTS3!$DP$101</f>
        <v>16</v>
      </c>
      <c r="AB11" s="83">
        <f>+[83]NUTS3!$DQ$101</f>
        <v>3</v>
      </c>
      <c r="AC11" s="81">
        <f>+[83]NUTS3!$DF$101</f>
        <v>118</v>
      </c>
      <c r="AD11" s="87">
        <f>+[83]NUTS3!$DG$101</f>
        <v>31</v>
      </c>
      <c r="AG11" s="40"/>
      <c r="AH11" s="41"/>
      <c r="AI11" s="40"/>
      <c r="AJ11" s="28"/>
      <c r="AK11" s="28"/>
      <c r="AL11" s="28"/>
      <c r="AM11" s="28"/>
      <c r="AN11" s="199"/>
      <c r="AO11" s="199"/>
      <c r="AP11" s="199"/>
      <c r="AQ11" s="199"/>
    </row>
    <row r="12" spans="1:43" ht="25.5" customHeight="1">
      <c r="A12" s="1"/>
      <c r="B12" s="69">
        <v>4</v>
      </c>
      <c r="C12" s="200">
        <f>+[84]NUTS3!$E$101</f>
        <v>3669</v>
      </c>
      <c r="D12" s="201">
        <f>+[84]NUTS3!$F$101</f>
        <v>2151</v>
      </c>
      <c r="E12" s="201">
        <f>+[84]NUTS3!$J$101</f>
        <v>3266</v>
      </c>
      <c r="F12" s="202">
        <f>+[84]NUTS3!$K$101</f>
        <v>1903</v>
      </c>
      <c r="G12" s="203">
        <f>+[84]NUTS3!$T$101</f>
        <v>146</v>
      </c>
      <c r="H12" s="201">
        <f>+[84]NUTS3!$U$101</f>
        <v>20</v>
      </c>
      <c r="I12" s="201">
        <f>+[84]NUTS3!$Y$101</f>
        <v>200</v>
      </c>
      <c r="J12" s="204">
        <f>+[84]NUTS3!$Z$101</f>
        <v>100</v>
      </c>
      <c r="K12" s="93">
        <f>+[84]NUTS3!$AI$101</f>
        <v>4369</v>
      </c>
      <c r="L12" s="201">
        <f>+[84]NUTS3!$AJ$101</f>
        <v>2010</v>
      </c>
      <c r="M12" s="201">
        <f>+[84]NUTS3!$AN$101</f>
        <v>4244</v>
      </c>
      <c r="N12" s="93">
        <f>+[84]NUTS3!$AO$101</f>
        <v>2033</v>
      </c>
      <c r="O12" s="130">
        <f>+[84]NUTS3!$AX$101</f>
        <v>2943</v>
      </c>
      <c r="P12" s="93">
        <f>+[84]NUTS3!$AY$101</f>
        <v>723</v>
      </c>
      <c r="Q12" s="203">
        <f>+[84]NUTS3!$BH$101+[84]NUTS3!$BW$101</f>
        <v>1442</v>
      </c>
      <c r="R12" s="201">
        <f>+[84]NUTS3!$BI$101+[84]NUTS3!$BX$101</f>
        <v>260</v>
      </c>
      <c r="S12" s="201">
        <f>+[84]NUTS3!$BM$101+[84]NUTS3!$CB$101</f>
        <v>1233</v>
      </c>
      <c r="T12" s="205">
        <f>+[84]NUTS3!$BN$101+[84]NUTS3!$CC$101</f>
        <v>253</v>
      </c>
      <c r="U12" s="202">
        <f>+[84]NUTS3!$CL$101</f>
        <v>50</v>
      </c>
      <c r="V12" s="93">
        <f>+[84]NUTS3!$CM$101</f>
        <v>6</v>
      </c>
      <c r="W12" s="130">
        <f>+[84]NUTS3!$CQ$101</f>
        <v>104</v>
      </c>
      <c r="X12" s="205">
        <f>+[84]NUTS3!$CR$101</f>
        <v>91</v>
      </c>
      <c r="Y12" s="130">
        <f>+[84]NUTS3!$FS$101</f>
        <v>39865</v>
      </c>
      <c r="Z12" s="204">
        <f>+[84]NUTS3!$FT$101</f>
        <v>2835</v>
      </c>
      <c r="AA12" s="130">
        <f>+[84]NUTS3!$DP$101</f>
        <v>37</v>
      </c>
      <c r="AB12" s="204">
        <f>+[84]NUTS3!$DQ$101</f>
        <v>25</v>
      </c>
      <c r="AC12" s="202">
        <f>+[84]NUTS3!$DF$101</f>
        <v>129</v>
      </c>
      <c r="AD12" s="206">
        <f>+[84]NUTS3!$DG$101</f>
        <v>60</v>
      </c>
      <c r="AG12" s="40"/>
      <c r="AH12" s="40"/>
      <c r="AI12" s="40"/>
      <c r="AJ12" s="28"/>
      <c r="AK12" s="28"/>
      <c r="AL12" s="28"/>
      <c r="AM12" s="28"/>
      <c r="AN12" s="199"/>
      <c r="AO12" s="199"/>
      <c r="AP12" s="199"/>
      <c r="AQ12" s="199"/>
    </row>
    <row r="13" spans="1:43" ht="25.5" customHeight="1">
      <c r="A13" s="1"/>
      <c r="B13" s="69">
        <v>5</v>
      </c>
      <c r="C13" s="200">
        <f>+[85]NUTS3!$E$101</f>
        <v>3948</v>
      </c>
      <c r="D13" s="201">
        <f>+[85]NUTS3!$F$101</f>
        <v>2612</v>
      </c>
      <c r="E13" s="201">
        <f>+[85]NUTS3!$J$101</f>
        <v>3563</v>
      </c>
      <c r="F13" s="202">
        <f>+[85]NUTS3!$K$101</f>
        <v>2405</v>
      </c>
      <c r="G13" s="203">
        <f>+[85]NUTS3!$T$101</f>
        <v>153</v>
      </c>
      <c r="H13" s="201">
        <f>+[85]NUTS3!$U$101</f>
        <v>30</v>
      </c>
      <c r="I13" s="201">
        <f>+[85]NUTS3!$Y$101</f>
        <v>205</v>
      </c>
      <c r="J13" s="204">
        <f>+[85]NUTS3!$Z$101</f>
        <v>108</v>
      </c>
      <c r="K13" s="93">
        <f>+[85]NUTS3!$AI$101</f>
        <v>4615</v>
      </c>
      <c r="L13" s="201">
        <f>+[85]NUTS3!$AJ$101</f>
        <v>2510</v>
      </c>
      <c r="M13" s="201">
        <f>+[85]NUTS3!$AN$101</f>
        <v>4485</v>
      </c>
      <c r="N13" s="93">
        <f>+[85]NUTS3!$AO$101</f>
        <v>2530</v>
      </c>
      <c r="O13" s="130">
        <f>+[85]NUTS3!$AX$101</f>
        <v>2985</v>
      </c>
      <c r="P13" s="93">
        <f>+[85]NUTS3!$AY$101</f>
        <v>961</v>
      </c>
      <c r="Q13" s="203">
        <f>+[85]NUTS3!$BH$101+[85]NUTS3!$BW$101</f>
        <v>1522</v>
      </c>
      <c r="R13" s="201">
        <f>+[85]NUTS3!$BI$101+[85]NUTS3!$BX$101</f>
        <v>347</v>
      </c>
      <c r="S13" s="201">
        <f>+[85]NUTS3!$BM$101+[85]NUTS3!$CB$101</f>
        <v>1313</v>
      </c>
      <c r="T13" s="205">
        <f>+[85]NUTS3!$BN$101+[85]NUTS3!$CC$101</f>
        <v>352</v>
      </c>
      <c r="U13" s="202">
        <f>+[85]NUTS3!$CL$101</f>
        <v>53</v>
      </c>
      <c r="V13" s="93">
        <f>+[85]NUTS3!$CM$101</f>
        <v>10</v>
      </c>
      <c r="W13" s="130">
        <f>+[85]NUTS3!$CQ$101</f>
        <v>107</v>
      </c>
      <c r="X13" s="205">
        <f>+[85]NUTS3!$CR$101</f>
        <v>94</v>
      </c>
      <c r="Y13" s="130">
        <f>+[85]NUTS3!$FS$101</f>
        <v>40183</v>
      </c>
      <c r="Z13" s="204">
        <f>+[85]NUTS3!$FT$101</f>
        <v>3208</v>
      </c>
      <c r="AA13" s="130">
        <f>+[85]NUTS3!$DP$101</f>
        <v>36</v>
      </c>
      <c r="AB13" s="204">
        <f>+[85]NUTS3!$DQ$101</f>
        <v>25</v>
      </c>
      <c r="AC13" s="202">
        <f>+[85]NUTS3!$DF$101</f>
        <v>137</v>
      </c>
      <c r="AD13" s="206">
        <f>+[85]NUTS3!$DG$101</f>
        <v>84</v>
      </c>
      <c r="AG13" s="128"/>
      <c r="AH13" s="40"/>
      <c r="AI13" s="40"/>
      <c r="AJ13" s="28"/>
      <c r="AK13" s="28"/>
      <c r="AL13" s="28"/>
      <c r="AM13" s="28"/>
      <c r="AN13" s="199"/>
      <c r="AO13" s="199"/>
      <c r="AP13" s="199"/>
      <c r="AQ13" s="199"/>
    </row>
    <row r="14" spans="1:43" ht="25.5" customHeight="1">
      <c r="A14" s="1"/>
      <c r="B14" s="69">
        <v>6</v>
      </c>
      <c r="C14" s="200">
        <f>+[86]NUTS3!$E$101</f>
        <v>4121</v>
      </c>
      <c r="D14" s="201">
        <f>+[86]NUTS3!$F$101</f>
        <v>3148</v>
      </c>
      <c r="E14" s="201">
        <f>+[86]NUTS3!$J$101</f>
        <v>3738</v>
      </c>
      <c r="F14" s="202">
        <f>+[86]NUTS3!$K$101</f>
        <v>2964</v>
      </c>
      <c r="G14" s="203">
        <f>+[86]NUTS3!$T$101</f>
        <v>151</v>
      </c>
      <c r="H14" s="201">
        <f>+[86]NUTS3!$U$101</f>
        <v>33</v>
      </c>
      <c r="I14" s="201">
        <f>+[86]NUTS3!$Y$101</f>
        <v>208</v>
      </c>
      <c r="J14" s="204">
        <f>+[86]NUTS3!$Z$101</f>
        <v>116</v>
      </c>
      <c r="K14" s="93">
        <f>+[86]NUTS3!$AI$101</f>
        <v>5133</v>
      </c>
      <c r="L14" s="201">
        <f>+[86]NUTS3!$AJ$101</f>
        <v>3289</v>
      </c>
      <c r="M14" s="201">
        <f>+[86]NUTS3!$AN$101</f>
        <v>5006</v>
      </c>
      <c r="N14" s="93">
        <f>+[86]NUTS3!$AO$101</f>
        <v>3317</v>
      </c>
      <c r="O14" s="130">
        <f>+[86]NUTS3!$AX$101</f>
        <v>3028</v>
      </c>
      <c r="P14" s="93">
        <f>+[86]NUTS3!$AY$101</f>
        <v>1177</v>
      </c>
      <c r="Q14" s="203">
        <f>+[86]NUTS3!$BH$101+[86]NUTS3!$BW$101</f>
        <v>1564</v>
      </c>
      <c r="R14" s="201">
        <f>+[86]NUTS3!$BI$101+[86]NUTS3!$BX$101</f>
        <v>410</v>
      </c>
      <c r="S14" s="201">
        <f>+[86]NUTS3!$BM$101+[86]NUTS3!$CB$101</f>
        <v>1376</v>
      </c>
      <c r="T14" s="205">
        <f>+[86]NUTS3!$BN$101+[86]NUTS3!$CC$101</f>
        <v>458</v>
      </c>
      <c r="U14" s="202">
        <f>+[86]NUTS3!$CL$101</f>
        <v>53</v>
      </c>
      <c r="V14" s="93">
        <f>+[86]NUTS3!$CM$101</f>
        <v>10</v>
      </c>
      <c r="W14" s="130">
        <f>+[86]NUTS3!$CQ$101</f>
        <v>108</v>
      </c>
      <c r="X14" s="205">
        <f>+[86]NUTS3!$CR$101</f>
        <v>95</v>
      </c>
      <c r="Y14" s="130">
        <f>+[86]NUTS3!$FS$101</f>
        <v>40411</v>
      </c>
      <c r="Z14" s="204">
        <f>+[86]NUTS3!$FT$101</f>
        <v>3560</v>
      </c>
      <c r="AA14" s="130">
        <f>+[86]NUTS3!$DP$101</f>
        <v>41</v>
      </c>
      <c r="AB14" s="204">
        <f>+[86]NUTS3!$DQ$101</f>
        <v>30</v>
      </c>
      <c r="AC14" s="202">
        <f>+[86]NUTS3!$DF$101</f>
        <v>149</v>
      </c>
      <c r="AD14" s="206">
        <f>+[86]NUTS3!$DG$101</f>
        <v>106</v>
      </c>
      <c r="AG14" s="128"/>
      <c r="AI14" s="40"/>
      <c r="AJ14" s="28"/>
      <c r="AK14" s="28"/>
      <c r="AL14" s="28"/>
      <c r="AM14" s="28"/>
      <c r="AN14" s="199"/>
      <c r="AO14" s="199"/>
      <c r="AP14" s="199"/>
      <c r="AQ14" s="199"/>
    </row>
    <row r="15" spans="1:43" ht="25.5" customHeight="1">
      <c r="A15" s="1"/>
      <c r="B15" s="69">
        <v>7</v>
      </c>
      <c r="C15" s="200">
        <f>+[87]NUTS3!$E$101</f>
        <v>4133</v>
      </c>
      <c r="D15" s="201">
        <f>+[87]NUTS3!$F$101</f>
        <v>3428</v>
      </c>
      <c r="E15" s="201">
        <f>+[87]NUTS3!$J$101</f>
        <v>3864</v>
      </c>
      <c r="F15" s="202">
        <f>+[87]NUTS3!$K$101</f>
        <v>3380</v>
      </c>
      <c r="G15" s="203">
        <f>+[87]NUTS3!$T$101</f>
        <v>156</v>
      </c>
      <c r="H15" s="201">
        <f>+[87]NUTS3!$U$101</f>
        <v>46</v>
      </c>
      <c r="I15" s="201">
        <f>+[87]NUTS3!$Y$101</f>
        <v>207</v>
      </c>
      <c r="J15" s="204">
        <f>+[87]NUTS3!$Z$101</f>
        <v>128</v>
      </c>
      <c r="K15" s="93">
        <f>+[87]NUTS3!$AI$101</f>
        <v>5711</v>
      </c>
      <c r="L15" s="201">
        <f>+[87]NUTS3!$AJ$101</f>
        <v>4154</v>
      </c>
      <c r="M15" s="201">
        <f>+[87]NUTS3!$AN$101</f>
        <v>5596</v>
      </c>
      <c r="N15" s="93">
        <f>+[87]NUTS3!$AO$101</f>
        <v>4179</v>
      </c>
      <c r="O15" s="130">
        <f>+[87]NUTS3!$AX$101</f>
        <v>3068</v>
      </c>
      <c r="P15" s="93">
        <f>+[87]NUTS3!$AY$101</f>
        <v>1379</v>
      </c>
      <c r="Q15" s="203">
        <f>+[87]NUTS3!$BH$101+[87]NUTS3!$BW$101</f>
        <v>1677</v>
      </c>
      <c r="R15" s="201">
        <f>+[87]NUTS3!$BI$101+[87]NUTS3!$BX$101</f>
        <v>523</v>
      </c>
      <c r="S15" s="201">
        <f>+[87]NUTS3!$BM$101+[87]NUTS3!$CB$101</f>
        <v>1440</v>
      </c>
      <c r="T15" s="205">
        <f>+[87]NUTS3!$BN$101+[87]NUTS3!$CC$101</f>
        <v>535</v>
      </c>
      <c r="U15" s="202">
        <f>+[87]NUTS3!$CL$101</f>
        <v>55</v>
      </c>
      <c r="V15" s="93">
        <f>+[87]NUTS3!$CM$101</f>
        <v>13</v>
      </c>
      <c r="W15" s="130">
        <f>+[87]NUTS3!$CQ$101</f>
        <v>114</v>
      </c>
      <c r="X15" s="205">
        <f>+[87]NUTS3!$CR$101</f>
        <v>101</v>
      </c>
      <c r="Y15" s="130">
        <f>+[87]NUTS3!$FS$101</f>
        <v>40642</v>
      </c>
      <c r="Z15" s="204">
        <f>+[87]NUTS3!$FT$101</f>
        <v>3830</v>
      </c>
      <c r="AA15" s="130">
        <f>+[87]NUTS3!$DP$101</f>
        <v>42</v>
      </c>
      <c r="AB15" s="204">
        <f>+[87]NUTS3!$DQ$101</f>
        <v>31</v>
      </c>
      <c r="AC15" s="202">
        <f>+[87]NUTS3!$DF$101</f>
        <v>175</v>
      </c>
      <c r="AD15" s="206">
        <f>+[87]NUTS3!$DG$101</f>
        <v>144</v>
      </c>
      <c r="AI15" s="88"/>
      <c r="AJ15" s="28"/>
      <c r="AK15" s="28"/>
      <c r="AL15" s="28"/>
      <c r="AM15" s="28"/>
      <c r="AN15" s="199"/>
      <c r="AO15" s="199"/>
      <c r="AP15" s="199"/>
      <c r="AQ15" s="199"/>
    </row>
    <row r="16" spans="1:43" ht="25.5" customHeight="1">
      <c r="A16" s="1"/>
      <c r="B16" s="69">
        <v>8</v>
      </c>
      <c r="C16" s="207">
        <f>+[88]NUTS3!$E$101</f>
        <v>4138</v>
      </c>
      <c r="D16" s="208">
        <f>+[88]NUTS3!$F$101</f>
        <v>3607</v>
      </c>
      <c r="E16" s="208">
        <f>+[88]NUTS3!$J$101</f>
        <v>3863</v>
      </c>
      <c r="F16" s="209">
        <f>+[88]NUTS3!$K$101</f>
        <v>3569</v>
      </c>
      <c r="G16" s="210">
        <f>+[88]NUTS3!$T$101</f>
        <v>160</v>
      </c>
      <c r="H16" s="208">
        <f>+[88]NUTS3!$U$101</f>
        <v>52</v>
      </c>
      <c r="I16" s="208">
        <f>+[88]NUTS3!$Y$101</f>
        <v>213</v>
      </c>
      <c r="J16" s="211">
        <f>+[88]NUTS3!$Z$101</f>
        <v>138</v>
      </c>
      <c r="K16" s="212">
        <f>+[88]NUTS3!$AI$101</f>
        <v>5079</v>
      </c>
      <c r="L16" s="208">
        <f>+[88]NUTS3!$AJ$101</f>
        <v>4708</v>
      </c>
      <c r="M16" s="208">
        <f>+[88]NUTS3!$AN$101</f>
        <v>4871</v>
      </c>
      <c r="N16" s="212">
        <f>+[88]NUTS3!$AO$101</f>
        <v>4706</v>
      </c>
      <c r="O16" s="213">
        <f>+[88]NUTS3!$AX$101</f>
        <v>3104</v>
      </c>
      <c r="P16" s="212">
        <f>+[88]NUTS3!$AY$101</f>
        <v>1582</v>
      </c>
      <c r="Q16" s="210">
        <f>+[88]NUTS3!$BH$101+[88]NUTS3!$BW$101</f>
        <v>1798</v>
      </c>
      <c r="R16" s="208">
        <f>+[88]NUTS3!$BI$101+[88]NUTS3!$BX$101</f>
        <v>650</v>
      </c>
      <c r="S16" s="208">
        <f>+[88]NUTS3!$BM$101+[88]NUTS3!$CB$101</f>
        <v>1599</v>
      </c>
      <c r="T16" s="214">
        <f>+[88]NUTS3!$BN$101+[88]NUTS3!$CC$101</f>
        <v>713</v>
      </c>
      <c r="U16" s="209">
        <f>+[88]NUTS3!$CL$101</f>
        <v>57</v>
      </c>
      <c r="V16" s="212">
        <f>+[88]NUTS3!$CM$101</f>
        <v>15</v>
      </c>
      <c r="W16" s="213">
        <f>+[88]NUTS3!$CQ$101</f>
        <v>116</v>
      </c>
      <c r="X16" s="214">
        <f>+[88]NUTS3!$CR$101</f>
        <v>103</v>
      </c>
      <c r="Y16" s="213">
        <f>+[88]NUTS3!$FS$101</f>
        <v>41012</v>
      </c>
      <c r="Z16" s="211">
        <f>+[88]NUTS3!$FT$101</f>
        <v>4216</v>
      </c>
      <c r="AA16" s="213">
        <f>+[88]NUTS3!$DP$101</f>
        <v>42</v>
      </c>
      <c r="AB16" s="211">
        <f>+[88]NUTS3!$DQ$101</f>
        <v>31</v>
      </c>
      <c r="AC16" s="209">
        <f>+[88]NUTS3!$DF$101</f>
        <v>171</v>
      </c>
      <c r="AD16" s="215">
        <f>+[88]NUTS3!$DG$101</f>
        <v>163</v>
      </c>
      <c r="AI16" s="88"/>
      <c r="AJ16" s="28"/>
      <c r="AK16" s="28"/>
      <c r="AL16" s="28"/>
      <c r="AM16" s="28"/>
      <c r="AN16" s="199"/>
      <c r="AO16" s="199"/>
      <c r="AP16" s="199"/>
      <c r="AQ16" s="199"/>
    </row>
    <row r="17" spans="1:43" ht="25.5" customHeight="1">
      <c r="A17" s="1"/>
      <c r="B17" s="69">
        <v>9</v>
      </c>
      <c r="C17" s="207">
        <f>+[89]NUTS3!$E$101</f>
        <v>4221</v>
      </c>
      <c r="D17" s="208">
        <f>+[89]NUTS3!$F$101</f>
        <v>3919</v>
      </c>
      <c r="E17" s="208">
        <f>+[89]NUTS3!$J$101</f>
        <v>3994</v>
      </c>
      <c r="F17" s="209">
        <f>+[89]NUTS3!$K$101</f>
        <v>3953</v>
      </c>
      <c r="G17" s="210">
        <f>+[89]NUTS3!$T$101</f>
        <v>164</v>
      </c>
      <c r="H17" s="208">
        <f>+[89]NUTS3!$U$101</f>
        <v>60</v>
      </c>
      <c r="I17" s="208">
        <f>+[89]NUTS3!$Y$101</f>
        <v>224</v>
      </c>
      <c r="J17" s="211">
        <f>+[89]NUTS3!$Z$101</f>
        <v>150</v>
      </c>
      <c r="K17" s="212">
        <f>+[89]NUTS3!$AI$101</f>
        <v>4539</v>
      </c>
      <c r="L17" s="208">
        <f>+[89]NUTS3!$AJ$101</f>
        <v>4971</v>
      </c>
      <c r="M17" s="208">
        <f>+[89]NUTS3!$AN$101</f>
        <v>4363</v>
      </c>
      <c r="N17" s="212">
        <f>+[89]NUTS3!$AO$101</f>
        <v>4996</v>
      </c>
      <c r="O17" s="213">
        <f>+[89]NUTS3!$AX$101</f>
        <v>3114</v>
      </c>
      <c r="P17" s="212">
        <f>+[89]NUTS3!$AY$101</f>
        <v>1800</v>
      </c>
      <c r="Q17" s="210">
        <f>+[89]NUTS3!$BH$101+[89]NUTS3!$BW$101</f>
        <v>1888</v>
      </c>
      <c r="R17" s="208">
        <f>+[89]NUTS3!$BI$101+[89]NUTS3!$BX$101</f>
        <v>743</v>
      </c>
      <c r="S17" s="208">
        <f>+[89]NUTS3!$BM$101+[89]NUTS3!$CB$101</f>
        <v>1710</v>
      </c>
      <c r="T17" s="214">
        <f>+[89]NUTS3!$BN$101+[89]NUTS3!$CC$101</f>
        <v>839</v>
      </c>
      <c r="U17" s="209">
        <f>+[89]NUTS3!$CL$101</f>
        <v>60</v>
      </c>
      <c r="V17" s="212">
        <f>+[89]NUTS3!$CM$101</f>
        <v>18</v>
      </c>
      <c r="W17" s="213">
        <f>+[89]NUTS3!$CQ$101</f>
        <v>116</v>
      </c>
      <c r="X17" s="214">
        <f>+[89]NUTS3!$CR$101</f>
        <v>104</v>
      </c>
      <c r="Y17" s="213">
        <f>+[89]NUTS3!$FS$101</f>
        <v>41347</v>
      </c>
      <c r="Z17" s="211">
        <f>+[89]NUTS3!$FT$101</f>
        <v>4555</v>
      </c>
      <c r="AA17" s="213">
        <f>+[89]NUTS3!$DP$101</f>
        <v>40</v>
      </c>
      <c r="AB17" s="211">
        <f>+[89]NUTS3!$DQ$101</f>
        <v>34</v>
      </c>
      <c r="AC17" s="209">
        <f>+[89]NUTS3!$DF$101</f>
        <v>180</v>
      </c>
      <c r="AD17" s="215">
        <f>+[89]NUTS3!$DG$101</f>
        <v>194</v>
      </c>
      <c r="AI17" s="16"/>
      <c r="AJ17" s="28"/>
      <c r="AK17" s="28"/>
      <c r="AL17" s="28"/>
      <c r="AM17" s="28"/>
      <c r="AN17" s="199"/>
      <c r="AO17" s="199"/>
      <c r="AP17" s="199"/>
      <c r="AQ17" s="199"/>
    </row>
    <row r="18" spans="1:43" ht="25.5" customHeight="1">
      <c r="A18" s="1"/>
      <c r="B18" s="69">
        <v>10</v>
      </c>
      <c r="C18" s="79">
        <f>+[90]NUTS3!$E$101</f>
        <v>4000</v>
      </c>
      <c r="D18" s="80">
        <f>+[90]NUTS3!$F$101</f>
        <v>4018</v>
      </c>
      <c r="E18" s="80">
        <f>+[90]NUTS3!$J$101</f>
        <v>3729</v>
      </c>
      <c r="F18" s="81">
        <f>+[90]NUTS3!$K$101</f>
        <v>4107</v>
      </c>
      <c r="G18" s="82">
        <f>+[90]NUTS3!$T$101</f>
        <v>165</v>
      </c>
      <c r="H18" s="80">
        <f>+[90]NUTS3!$U$101</f>
        <v>69</v>
      </c>
      <c r="I18" s="80">
        <f>+[90]NUTS3!$Y$101</f>
        <v>222</v>
      </c>
      <c r="J18" s="83">
        <f>+[90]NUTS3!$Z$101</f>
        <v>156</v>
      </c>
      <c r="K18" s="84">
        <f>+[90]NUTS3!$AI$101</f>
        <v>4214</v>
      </c>
      <c r="L18" s="80">
        <f>+[90]NUTS3!$AJ$101</f>
        <v>5116</v>
      </c>
      <c r="M18" s="80">
        <f>+[90]NUTS3!$AN$101</f>
        <v>4049</v>
      </c>
      <c r="N18" s="84">
        <f>+[90]NUTS3!$AO$101</f>
        <v>5152</v>
      </c>
      <c r="O18" s="85">
        <f>+[90]NUTS3!$AX$101</f>
        <v>3194</v>
      </c>
      <c r="P18" s="84">
        <f>+[90]NUTS3!$AY$101</f>
        <v>2061</v>
      </c>
      <c r="Q18" s="82">
        <f>+[90]NUTS3!$BH$101+[90]NUTS3!$BW$101</f>
        <v>1959</v>
      </c>
      <c r="R18" s="80">
        <f>+[90]NUTS3!$BI$101+[90]NUTS3!$BX$101</f>
        <v>818</v>
      </c>
      <c r="S18" s="80">
        <f>+[90]NUTS3!$BM$101+[90]NUTS3!$CB$101</f>
        <v>1785</v>
      </c>
      <c r="T18" s="86">
        <f>+[90]NUTS3!$BN$101+[90]NUTS3!$CC$101</f>
        <v>951</v>
      </c>
      <c r="U18" s="81">
        <f>+[90]NUTS3!$CL$101</f>
        <v>62</v>
      </c>
      <c r="V18" s="84">
        <f>+[90]NUTS3!$CM$101</f>
        <v>20</v>
      </c>
      <c r="W18" s="85">
        <f>+[90]NUTS3!$CQ$101</f>
        <v>120</v>
      </c>
      <c r="X18" s="86">
        <f>+[90]NUTS3!$CR$101</f>
        <v>108</v>
      </c>
      <c r="Y18" s="85">
        <f>+[90]NUTS3!$FS$101</f>
        <v>41640</v>
      </c>
      <c r="Z18" s="83">
        <f>+[90]NUTS3!$FT$101</f>
        <v>4874</v>
      </c>
      <c r="AA18" s="85">
        <f>+[90]NUTS3!$DP$101</f>
        <v>39</v>
      </c>
      <c r="AB18" s="83">
        <f>+[90]NUTS3!$DQ$101</f>
        <v>35</v>
      </c>
      <c r="AC18" s="81">
        <f>+[90]NUTS3!$DF$101</f>
        <v>189</v>
      </c>
      <c r="AD18" s="87">
        <f>+[90]NUTS3!$DG$101</f>
        <v>224</v>
      </c>
      <c r="AI18" s="93"/>
      <c r="AJ18" s="28"/>
      <c r="AK18" s="28"/>
      <c r="AL18" s="28"/>
      <c r="AM18" s="28"/>
      <c r="AN18" s="199"/>
      <c r="AO18" s="199"/>
      <c r="AP18" s="199"/>
      <c r="AQ18" s="199"/>
    </row>
    <row r="19" spans="1:43" ht="25.5" customHeight="1">
      <c r="A19" s="1"/>
      <c r="B19" s="69">
        <v>11</v>
      </c>
      <c r="C19" s="216"/>
      <c r="D19" s="217"/>
      <c r="E19" s="217"/>
      <c r="F19" s="218"/>
      <c r="G19" s="219"/>
      <c r="H19" s="217"/>
      <c r="I19" s="217"/>
      <c r="J19" s="220"/>
      <c r="K19" s="221"/>
      <c r="L19" s="217"/>
      <c r="M19" s="217"/>
      <c r="N19" s="221"/>
      <c r="O19" s="222"/>
      <c r="P19" s="221"/>
      <c r="Q19" s="219"/>
      <c r="R19" s="217"/>
      <c r="S19" s="217"/>
      <c r="T19" s="223"/>
      <c r="U19" s="218"/>
      <c r="V19" s="221"/>
      <c r="W19" s="222"/>
      <c r="X19" s="223"/>
      <c r="Y19" s="222"/>
      <c r="Z19" s="220"/>
      <c r="AA19" s="222"/>
      <c r="AB19" s="220"/>
      <c r="AC19" s="218"/>
      <c r="AD19" s="224"/>
      <c r="AH19" s="94"/>
      <c r="AI19" s="93"/>
      <c r="AJ19" s="28"/>
      <c r="AK19" s="28"/>
      <c r="AL19" s="28"/>
      <c r="AM19" s="28"/>
      <c r="AN19" s="199"/>
      <c r="AO19" s="199"/>
      <c r="AP19" s="199"/>
      <c r="AQ19" s="199"/>
    </row>
    <row r="20" spans="1:43" s="31" customFormat="1" ht="25.5" customHeight="1" thickBot="1">
      <c r="A20" s="1"/>
      <c r="B20" s="95">
        <v>12</v>
      </c>
      <c r="C20" s="225"/>
      <c r="D20" s="226"/>
      <c r="E20" s="226"/>
      <c r="F20" s="227"/>
      <c r="G20" s="228"/>
      <c r="H20" s="226"/>
      <c r="I20" s="226"/>
      <c r="J20" s="229"/>
      <c r="K20" s="230"/>
      <c r="L20" s="226"/>
      <c r="M20" s="226"/>
      <c r="N20" s="230"/>
      <c r="O20" s="231"/>
      <c r="P20" s="230"/>
      <c r="Q20" s="228"/>
      <c r="R20" s="226"/>
      <c r="S20" s="226"/>
      <c r="T20" s="232"/>
      <c r="U20" s="227"/>
      <c r="V20" s="230"/>
      <c r="W20" s="231"/>
      <c r="X20" s="229"/>
      <c r="Y20" s="231"/>
      <c r="Z20" s="229"/>
      <c r="AA20" s="231"/>
      <c r="AB20" s="229"/>
      <c r="AC20" s="227"/>
      <c r="AD20" s="233"/>
      <c r="AG20" s="40"/>
      <c r="AH20" s="93"/>
      <c r="AI20" s="93"/>
      <c r="AJ20" s="28"/>
      <c r="AK20" s="28"/>
      <c r="AL20" s="28"/>
      <c r="AM20" s="28"/>
      <c r="AN20" s="199"/>
      <c r="AO20" s="199"/>
      <c r="AP20" s="199"/>
      <c r="AQ20" s="199"/>
    </row>
    <row r="21" spans="1:43" ht="25.5" customHeight="1" thickTop="1">
      <c r="A21" s="1"/>
      <c r="B21" s="105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106"/>
      <c r="AF21" s="106"/>
      <c r="AH21" s="93"/>
      <c r="AI21" s="93"/>
      <c r="AJ21" s="93"/>
      <c r="AK21" s="11"/>
      <c r="AL21" s="11"/>
    </row>
    <row r="22" spans="1:43" ht="25.5" customHeight="1">
      <c r="A22" s="1"/>
      <c r="B22" s="105"/>
      <c r="C22" s="84"/>
      <c r="D22" s="84"/>
      <c r="E22" s="191"/>
      <c r="F22" s="125"/>
      <c r="G22" s="125"/>
      <c r="H22" s="125"/>
      <c r="I22" s="125"/>
      <c r="J22" s="84"/>
      <c r="K22" s="84"/>
      <c r="L22" s="84"/>
      <c r="M22" s="84"/>
      <c r="N22" s="84"/>
      <c r="O22" s="84"/>
      <c r="P22" s="84"/>
      <c r="Q22" s="84"/>
      <c r="R22" s="107"/>
      <c r="S22" s="107"/>
      <c r="T22" s="107"/>
      <c r="U22" s="107"/>
      <c r="V22" s="107"/>
      <c r="W22" s="107"/>
      <c r="X22" s="107"/>
      <c r="Y22" s="107"/>
      <c r="Z22" s="84"/>
      <c r="AA22" s="84"/>
      <c r="AB22" s="84"/>
      <c r="AC22" s="84"/>
      <c r="AD22" s="106"/>
      <c r="AE22" s="106"/>
      <c r="AF22" s="106"/>
      <c r="AH22" s="93"/>
      <c r="AI22" s="108"/>
      <c r="AJ22" s="108"/>
    </row>
    <row r="23" spans="1:43" ht="25.5" customHeight="1" thickBot="1">
      <c r="A23" s="1"/>
      <c r="B23" s="109"/>
      <c r="C23" s="101"/>
      <c r="D23" s="101"/>
      <c r="E23" s="101"/>
      <c r="F23" s="101"/>
      <c r="G23" s="101"/>
      <c r="H23" s="101"/>
      <c r="I23" s="192"/>
      <c r="J23" s="192"/>
      <c r="M23" s="84"/>
      <c r="N23" s="84"/>
      <c r="O23" s="84"/>
      <c r="P23" s="84"/>
      <c r="Q23" s="84"/>
      <c r="R23" s="110"/>
      <c r="S23" s="111"/>
      <c r="T23" s="112"/>
      <c r="U23" s="112"/>
      <c r="V23" s="112"/>
      <c r="W23" s="112"/>
      <c r="X23" s="112"/>
      <c r="Y23" s="112"/>
      <c r="Z23" s="84"/>
      <c r="AA23" s="84"/>
      <c r="AB23" s="84"/>
      <c r="AC23" s="84"/>
      <c r="AD23" s="106"/>
      <c r="AE23" s="106"/>
      <c r="AF23" s="106"/>
      <c r="AH23" s="93"/>
    </row>
    <row r="24" spans="1:43" ht="76.5" customHeight="1" thickTop="1">
      <c r="A24" s="1"/>
      <c r="B24" s="18" t="s">
        <v>1</v>
      </c>
      <c r="C24" s="21" t="s">
        <v>71</v>
      </c>
      <c r="D24" s="113"/>
      <c r="E24" s="21" t="s">
        <v>72</v>
      </c>
      <c r="F24" s="20"/>
      <c r="G24" s="21" t="s">
        <v>73</v>
      </c>
      <c r="H24" s="234"/>
      <c r="I24" s="235" t="s">
        <v>74</v>
      </c>
      <c r="J24" s="20"/>
      <c r="K24" s="21" t="s">
        <v>75</v>
      </c>
      <c r="L24" s="20"/>
      <c r="M24" s="21" t="s">
        <v>76</v>
      </c>
      <c r="N24" s="20"/>
      <c r="O24" s="236" t="s">
        <v>77</v>
      </c>
      <c r="P24" s="236"/>
      <c r="Q24" s="236"/>
      <c r="R24" s="237"/>
      <c r="U24" s="111"/>
      <c r="V24" s="111"/>
      <c r="W24" s="111"/>
      <c r="X24" s="111"/>
      <c r="Y24" s="115"/>
      <c r="Z24" s="84"/>
      <c r="AA24" s="84"/>
      <c r="AB24" s="84"/>
      <c r="AC24" s="84"/>
      <c r="AD24" s="106"/>
      <c r="AE24" s="106"/>
      <c r="AF24" s="116"/>
    </row>
    <row r="25" spans="1:43" ht="25.5" customHeight="1" thickBot="1">
      <c r="A25" s="1"/>
      <c r="B25" s="32"/>
      <c r="C25" s="37" t="s">
        <v>13</v>
      </c>
      <c r="D25" s="36"/>
      <c r="E25" s="37" t="s">
        <v>13</v>
      </c>
      <c r="F25" s="36"/>
      <c r="G25" s="37" t="s">
        <v>13</v>
      </c>
      <c r="H25" s="34"/>
      <c r="I25" s="38" t="s">
        <v>13</v>
      </c>
      <c r="J25" s="34"/>
      <c r="K25" s="37" t="s">
        <v>26</v>
      </c>
      <c r="L25" s="36"/>
      <c r="M25" s="37" t="s">
        <v>26</v>
      </c>
      <c r="N25" s="36"/>
      <c r="O25" s="38" t="s">
        <v>12</v>
      </c>
      <c r="P25" s="34"/>
      <c r="Q25" s="35" t="s">
        <v>13</v>
      </c>
      <c r="R25" s="36"/>
      <c r="U25" s="111"/>
      <c r="V25" s="111"/>
      <c r="W25" s="111"/>
      <c r="X25" s="111"/>
      <c r="Y25" s="115"/>
      <c r="Z25" s="84"/>
      <c r="AA25" s="84"/>
      <c r="AB25" s="84"/>
      <c r="AC25" s="84"/>
      <c r="AD25" s="106"/>
      <c r="AE25" s="106"/>
      <c r="AF25" s="106"/>
      <c r="AH25" s="118" t="s">
        <v>27</v>
      </c>
    </row>
    <row r="26" spans="1:43" ht="25.5" customHeight="1">
      <c r="A26" s="1"/>
      <c r="B26" s="32"/>
      <c r="C26" s="45" t="s">
        <v>15</v>
      </c>
      <c r="D26" s="47" t="s">
        <v>16</v>
      </c>
      <c r="E26" s="52" t="s">
        <v>15</v>
      </c>
      <c r="F26" s="47" t="s">
        <v>16</v>
      </c>
      <c r="G26" s="52" t="s">
        <v>15</v>
      </c>
      <c r="H26" s="50" t="s">
        <v>16</v>
      </c>
      <c r="I26" s="44" t="s">
        <v>15</v>
      </c>
      <c r="J26" s="50" t="s">
        <v>16</v>
      </c>
      <c r="K26" s="54" t="s">
        <v>15</v>
      </c>
      <c r="L26" s="47" t="s">
        <v>16</v>
      </c>
      <c r="M26" s="193" t="s">
        <v>15</v>
      </c>
      <c r="N26" s="49" t="s">
        <v>16</v>
      </c>
      <c r="O26" s="44" t="s">
        <v>15</v>
      </c>
      <c r="P26" s="45" t="s">
        <v>16</v>
      </c>
      <c r="Q26" s="45" t="s">
        <v>15</v>
      </c>
      <c r="R26" s="47" t="s">
        <v>16</v>
      </c>
      <c r="U26" s="111"/>
      <c r="V26" s="111"/>
      <c r="W26" s="111"/>
      <c r="X26" s="111"/>
      <c r="Y26" s="115"/>
      <c r="Z26" s="84"/>
      <c r="AA26" s="84"/>
      <c r="AB26" s="84"/>
      <c r="AC26" s="84"/>
      <c r="AD26" s="106"/>
      <c r="AE26" s="106"/>
      <c r="AH26" s="40" t="s">
        <v>28</v>
      </c>
      <c r="AI26" s="40"/>
      <c r="AJ26" s="41">
        <f>+F18</f>
        <v>4107</v>
      </c>
    </row>
    <row r="27" spans="1:43" ht="25.5" customHeight="1">
      <c r="A27" s="1"/>
      <c r="B27" s="32"/>
      <c r="C27" s="45" t="s">
        <v>17</v>
      </c>
      <c r="D27" s="47" t="s">
        <v>18</v>
      </c>
      <c r="E27" s="52" t="s">
        <v>17</v>
      </c>
      <c r="F27" s="47" t="s">
        <v>18</v>
      </c>
      <c r="G27" s="52" t="s">
        <v>17</v>
      </c>
      <c r="H27" s="50" t="s">
        <v>18</v>
      </c>
      <c r="I27" s="44" t="s">
        <v>17</v>
      </c>
      <c r="J27" s="50" t="s">
        <v>18</v>
      </c>
      <c r="K27" s="54" t="s">
        <v>17</v>
      </c>
      <c r="L27" s="47" t="s">
        <v>18</v>
      </c>
      <c r="M27" s="54" t="s">
        <v>17</v>
      </c>
      <c r="N27" s="49" t="s">
        <v>18</v>
      </c>
      <c r="O27" s="44" t="s">
        <v>17</v>
      </c>
      <c r="P27" s="45" t="s">
        <v>18</v>
      </c>
      <c r="Q27" s="45" t="s">
        <v>17</v>
      </c>
      <c r="R27" s="47" t="s">
        <v>18</v>
      </c>
      <c r="U27" s="119"/>
      <c r="V27" s="119"/>
      <c r="W27" s="119"/>
      <c r="X27" s="119"/>
      <c r="Y27" s="119"/>
      <c r="Z27" s="84"/>
      <c r="AA27" s="84"/>
      <c r="AB27" s="84"/>
      <c r="AC27" s="84"/>
      <c r="AD27" s="106"/>
      <c r="AE27" s="106"/>
      <c r="AF27" s="106"/>
      <c r="AH27" s="40" t="s">
        <v>29</v>
      </c>
      <c r="AI27" s="40"/>
      <c r="AJ27" s="41">
        <f>+J18+N18+P18</f>
        <v>7369</v>
      </c>
    </row>
    <row r="28" spans="1:43" ht="25.5" customHeight="1" thickBot="1">
      <c r="A28" s="1"/>
      <c r="B28" s="56"/>
      <c r="C28" s="58" t="s">
        <v>19</v>
      </c>
      <c r="D28" s="60" t="s">
        <v>20</v>
      </c>
      <c r="E28" s="65" t="s">
        <v>19</v>
      </c>
      <c r="F28" s="60" t="s">
        <v>20</v>
      </c>
      <c r="G28" s="65" t="s">
        <v>19</v>
      </c>
      <c r="H28" s="63" t="s">
        <v>20</v>
      </c>
      <c r="I28" s="57" t="s">
        <v>19</v>
      </c>
      <c r="J28" s="63" t="s">
        <v>20</v>
      </c>
      <c r="K28" s="67" t="s">
        <v>19</v>
      </c>
      <c r="L28" s="60" t="s">
        <v>20</v>
      </c>
      <c r="M28" s="67" t="s">
        <v>19</v>
      </c>
      <c r="N28" s="62" t="s">
        <v>20</v>
      </c>
      <c r="O28" s="57" t="s">
        <v>19</v>
      </c>
      <c r="P28" s="58" t="s">
        <v>20</v>
      </c>
      <c r="Q28" s="58" t="s">
        <v>19</v>
      </c>
      <c r="R28" s="60" t="s">
        <v>20</v>
      </c>
      <c r="U28" s="119"/>
      <c r="V28" s="119"/>
      <c r="W28" s="119"/>
      <c r="X28" s="119"/>
      <c r="Y28" s="119"/>
      <c r="Z28" s="84"/>
      <c r="AA28" s="84"/>
      <c r="AB28" s="84"/>
      <c r="AC28" s="84"/>
      <c r="AD28" s="106"/>
      <c r="AE28" s="106"/>
      <c r="AF28" s="106"/>
      <c r="AH28" s="40" t="s">
        <v>54</v>
      </c>
      <c r="AI28" s="94"/>
      <c r="AJ28" s="41">
        <f>+T18+V18</f>
        <v>971</v>
      </c>
    </row>
    <row r="29" spans="1:43" ht="25.5" customHeight="1" thickTop="1">
      <c r="A29" s="1"/>
      <c r="B29" s="69">
        <v>1</v>
      </c>
      <c r="C29" s="122">
        <f>+[81]NUTS3!$EE$101</f>
        <v>8873</v>
      </c>
      <c r="D29" s="123">
        <f>+[81]NUTS3!$EF$101</f>
        <v>350</v>
      </c>
      <c r="E29" s="122">
        <f>+[81]NUTS3!$ET$101</f>
        <v>8204</v>
      </c>
      <c r="F29" s="123">
        <f>+[81]NUTS3!$EU$101</f>
        <v>978</v>
      </c>
      <c r="G29" s="181">
        <f>+[81]NUTS3!$FI$101+[81]NUTS3!$HQ$101</f>
        <v>3426</v>
      </c>
      <c r="H29" s="238">
        <f>+[81]NUTS3!$FJ$101+[81]NUTS3!$HR$101</f>
        <v>512</v>
      </c>
      <c r="I29" s="238">
        <f>+[81]NUTS3!$HQ$101</f>
        <v>1387</v>
      </c>
      <c r="J29" s="238">
        <f>+[81]NUTS3!$HR$101</f>
        <v>364</v>
      </c>
      <c r="K29" s="122">
        <f>+[81]NUTS3!$IA$101</f>
        <v>1821</v>
      </c>
      <c r="L29" s="123">
        <f>+[81]NUTS3!$IB$101</f>
        <v>1047</v>
      </c>
      <c r="M29" s="181">
        <f>+[81]NUTS3!$GR$101+[81]NUTS3!$HB$101</f>
        <v>6804</v>
      </c>
      <c r="N29" s="182">
        <f>+[81]NUTS3!$GS$101+[81]NUTS3!$HC$101</f>
        <v>3759</v>
      </c>
      <c r="O29" s="110" t="s">
        <v>78</v>
      </c>
      <c r="P29" s="110" t="s">
        <v>78</v>
      </c>
      <c r="Q29" s="239" t="s">
        <v>78</v>
      </c>
      <c r="R29" s="240" t="s">
        <v>78</v>
      </c>
      <c r="U29" s="119"/>
      <c r="V29" s="119"/>
      <c r="W29" s="119"/>
      <c r="X29" s="119"/>
      <c r="Y29" s="119"/>
      <c r="Z29" s="84"/>
      <c r="AA29" s="84"/>
      <c r="AB29" s="84"/>
      <c r="AC29" s="84"/>
      <c r="AD29" s="106"/>
      <c r="AE29" s="106"/>
      <c r="AF29" s="106"/>
      <c r="AH29" s="40" t="s">
        <v>32</v>
      </c>
      <c r="AJ29" s="41">
        <f>+D38</f>
        <v>17543</v>
      </c>
    </row>
    <row r="30" spans="1:43" ht="25.5" customHeight="1">
      <c r="A30" s="1"/>
      <c r="B30" s="69">
        <v>2</v>
      </c>
      <c r="C30" s="122">
        <f>+[82]NUTS3!$EE$101</f>
        <v>8004</v>
      </c>
      <c r="D30" s="123">
        <f>+[82]NUTS3!$EF$101</f>
        <v>632</v>
      </c>
      <c r="E30" s="122">
        <f>+[82]NUTS3!$ET$101</f>
        <v>7547</v>
      </c>
      <c r="F30" s="123">
        <f>+[82]NUTS3!$EU$101</f>
        <v>1238</v>
      </c>
      <c r="G30" s="181">
        <f>+[82]NUTS3!$FI$101+[82]NUTS3!$HQ$101</f>
        <v>4122</v>
      </c>
      <c r="H30" s="238">
        <f>+[82]NUTS3!$FJ$101+[82]NUTS3!$HR$101</f>
        <v>1296</v>
      </c>
      <c r="I30" s="238">
        <f>+[82]NUTS3!$HQ$101</f>
        <v>2012</v>
      </c>
      <c r="J30" s="238">
        <f>+[82]NUTS3!$HR$101</f>
        <v>1014</v>
      </c>
      <c r="K30" s="122">
        <f>+[82]NUTS3!$IA$101</f>
        <v>2894</v>
      </c>
      <c r="L30" s="123">
        <f>+[82]NUTS3!$IB$101</f>
        <v>3433</v>
      </c>
      <c r="M30" s="181">
        <f>+[82]NUTS3!$GR$101+[82]NUTS3!$HB$101</f>
        <v>7671</v>
      </c>
      <c r="N30" s="182">
        <f>+[82]NUTS3!$GS$101+[82]NUTS3!$HC$101</f>
        <v>5686</v>
      </c>
      <c r="O30" s="110" t="s">
        <v>78</v>
      </c>
      <c r="P30" s="110" t="s">
        <v>78</v>
      </c>
      <c r="Q30" s="239" t="s">
        <v>78</v>
      </c>
      <c r="R30" s="240" t="s">
        <v>78</v>
      </c>
      <c r="U30" s="119"/>
      <c r="V30" s="119"/>
      <c r="W30" s="119"/>
      <c r="X30" s="119"/>
      <c r="Y30" s="119"/>
      <c r="Z30" s="84"/>
      <c r="AA30" s="84"/>
      <c r="AB30" s="84"/>
      <c r="AC30" s="84"/>
      <c r="AD30" s="106"/>
      <c r="AE30" s="106"/>
      <c r="AF30" s="106"/>
      <c r="AH30" s="40" t="s">
        <v>33</v>
      </c>
      <c r="AI30" s="94"/>
      <c r="AJ30" s="41">
        <f>+F38</f>
        <v>18943</v>
      </c>
    </row>
    <row r="31" spans="1:43" ht="25.5" customHeight="1">
      <c r="A31" s="1"/>
      <c r="B31" s="69">
        <v>3</v>
      </c>
      <c r="C31" s="122">
        <f>+[83]NUTS3!$EE$101</f>
        <v>7186</v>
      </c>
      <c r="D31" s="123">
        <f>+[83]NUTS3!$EF$101</f>
        <v>2200</v>
      </c>
      <c r="E31" s="122">
        <f>+[83]NUTS3!$ET$101</f>
        <v>7767</v>
      </c>
      <c r="F31" s="123">
        <f>+[83]NUTS3!$EU$101</f>
        <v>2568</v>
      </c>
      <c r="G31" s="181">
        <f>+[83]NUTS3!$FI$101+[83]NUTS3!$HQ$101</f>
        <v>4715</v>
      </c>
      <c r="H31" s="238">
        <f>+[83]NUTS3!$FJ$101+[83]NUTS3!$HR$101</f>
        <v>2077</v>
      </c>
      <c r="I31" s="238">
        <f>+[83]NUTS3!$HQ$101</f>
        <v>2614</v>
      </c>
      <c r="J31" s="238">
        <f>+[83]NUTS3!$HR$101</f>
        <v>1639</v>
      </c>
      <c r="K31" s="122">
        <f>+[83]NUTS3!$IA$101</f>
        <v>3766</v>
      </c>
      <c r="L31" s="123">
        <f>+[83]NUTS3!$IB$101</f>
        <v>6481</v>
      </c>
      <c r="M31" s="181">
        <f>+[83]NUTS3!$GR$101+[83]NUTS3!$HB$101</f>
        <v>8272</v>
      </c>
      <c r="N31" s="182">
        <f>+[83]NUTS3!$GS$101+[83]NUTS3!$HC$101</f>
        <v>7692</v>
      </c>
      <c r="O31" s="241">
        <f>+[83]NUTS3!$IF$101</f>
        <v>44</v>
      </c>
      <c r="P31" s="125">
        <f>+[83]NUTS3!$IG$101</f>
        <v>44</v>
      </c>
      <c r="Q31" s="125">
        <f>+[83]NUTS3!$IK$101</f>
        <v>8</v>
      </c>
      <c r="R31" s="238">
        <f>+[83]NUTS3!$IL$101</f>
        <v>8</v>
      </c>
      <c r="U31" s="119"/>
      <c r="V31" s="119"/>
      <c r="W31" s="119"/>
      <c r="X31" s="119"/>
      <c r="Y31" s="119"/>
      <c r="Z31" s="84"/>
      <c r="AA31" s="84"/>
      <c r="AB31" s="84"/>
      <c r="AC31" s="84"/>
      <c r="AD31" s="106"/>
      <c r="AE31" s="106"/>
      <c r="AF31" s="106"/>
      <c r="AH31" s="40" t="s">
        <v>79</v>
      </c>
      <c r="AJ31" s="128">
        <f>+H38</f>
        <v>7950</v>
      </c>
    </row>
    <row r="32" spans="1:43" ht="25.5" customHeight="1">
      <c r="A32" s="1"/>
      <c r="B32" s="69">
        <v>4</v>
      </c>
      <c r="C32" s="181">
        <f>+[84]NUTS3!$EE$101</f>
        <v>11631</v>
      </c>
      <c r="D32" s="182">
        <f>+[84]NUTS3!$EF$101</f>
        <v>8328</v>
      </c>
      <c r="E32" s="181">
        <f>+[84]NUTS3!$ET$101</f>
        <v>8819</v>
      </c>
      <c r="F32" s="182">
        <f>+[84]NUTS3!$EU$101</f>
        <v>5028</v>
      </c>
      <c r="G32" s="181">
        <f>+[84]NUTS3!$FI$101+[84]NUTS3!$HQ$101</f>
        <v>5364</v>
      </c>
      <c r="H32" s="238">
        <f>+[84]NUTS3!$FJ$101+[84]NUTS3!$HR$101</f>
        <v>2899</v>
      </c>
      <c r="I32" s="238">
        <f>+[84]NUTS3!$HQ$101</f>
        <v>3072</v>
      </c>
      <c r="J32" s="238">
        <f>+[84]NUTS3!$HR$101</f>
        <v>2127</v>
      </c>
      <c r="K32" s="181">
        <f>+[84]NUTS3!$IA$101</f>
        <v>3556</v>
      </c>
      <c r="L32" s="182">
        <f>+[84]NUTS3!$IB$101</f>
        <v>8824</v>
      </c>
      <c r="M32" s="181">
        <f>+[84]NUTS3!$GR$101+[84]NUTS3!$HB$101</f>
        <v>8580</v>
      </c>
      <c r="N32" s="182">
        <f>+[84]NUTS3!$GS$101+[84]NUTS3!$HC$101</f>
        <v>9541</v>
      </c>
      <c r="O32" s="241">
        <f>+[84]NUTS3!$IF$101</f>
        <v>167</v>
      </c>
      <c r="P32" s="125">
        <f>+[84]NUTS3!$IG$101</f>
        <v>167</v>
      </c>
      <c r="Q32" s="125">
        <f>+[84]NUTS3!$IK$101</f>
        <v>69</v>
      </c>
      <c r="R32" s="238">
        <f>+[84]NUTS3!$IL$101</f>
        <v>71</v>
      </c>
      <c r="U32" s="119"/>
      <c r="V32" s="119"/>
      <c r="W32" s="119"/>
      <c r="X32" s="119"/>
      <c r="Y32" s="119"/>
      <c r="Z32" s="84"/>
      <c r="AA32" s="84"/>
      <c r="AB32" s="84"/>
      <c r="AC32" s="84"/>
      <c r="AD32" s="106"/>
      <c r="AE32" s="106"/>
      <c r="AF32" s="106"/>
      <c r="AH32" s="88" t="s">
        <v>35</v>
      </c>
      <c r="AI32" s="94"/>
      <c r="AJ32" s="41">
        <f>+L38</f>
        <v>22020</v>
      </c>
    </row>
    <row r="33" spans="1:40" ht="25.5" customHeight="1">
      <c r="A33" s="1"/>
      <c r="B33" s="69">
        <v>5</v>
      </c>
      <c r="C33" s="181">
        <f>+[85]NUTS3!$EE$101</f>
        <v>14313</v>
      </c>
      <c r="D33" s="182">
        <f>+[85]NUTS3!$EF$101</f>
        <v>12368</v>
      </c>
      <c r="E33" s="181">
        <f>+[85]NUTS3!$ET$101</f>
        <v>10139</v>
      </c>
      <c r="F33" s="182">
        <f>+[85]NUTS3!$EU$101</f>
        <v>7764</v>
      </c>
      <c r="G33" s="181">
        <f>+[85]NUTS3!$FI$101+[85]NUTS3!$HQ$101</f>
        <v>5979</v>
      </c>
      <c r="H33" s="238">
        <f>+[85]NUTS3!$FJ$101+[85]NUTS3!$HR$101</f>
        <v>3595</v>
      </c>
      <c r="I33" s="238">
        <f>+[85]NUTS3!$HQ$101</f>
        <v>3424</v>
      </c>
      <c r="J33" s="238">
        <f>+[85]NUTS3!$HR$101</f>
        <v>2528</v>
      </c>
      <c r="K33" s="181">
        <f>+[85]NUTS3!$IA$101</f>
        <v>3298</v>
      </c>
      <c r="L33" s="182">
        <f>+[85]NUTS3!$IB$101</f>
        <v>10878</v>
      </c>
      <c r="M33" s="181">
        <f>+[85]NUTS3!$GR$101+[85]NUTS3!$HB$101</f>
        <v>8613</v>
      </c>
      <c r="N33" s="182">
        <f>+[85]NUTS3!$GS$101+[85]NUTS3!$HC$101</f>
        <v>11075</v>
      </c>
      <c r="O33" s="241">
        <f>+[85]NUTS3!$IF$101</f>
        <v>312</v>
      </c>
      <c r="P33" s="125">
        <f>+[85]NUTS3!$IG$101</f>
        <v>314</v>
      </c>
      <c r="Q33" s="125">
        <f>+[85]NUTS3!$IK$101</f>
        <v>219</v>
      </c>
      <c r="R33" s="238">
        <f>+[85]NUTS3!$IL$101</f>
        <v>224</v>
      </c>
      <c r="U33" s="119"/>
      <c r="V33" s="119"/>
      <c r="W33" s="119"/>
      <c r="X33" s="119"/>
      <c r="Y33" s="119"/>
      <c r="Z33" s="84"/>
      <c r="AA33" s="84"/>
      <c r="AB33" s="84"/>
      <c r="AC33" s="84"/>
      <c r="AD33" s="106"/>
      <c r="AE33" s="106"/>
      <c r="AF33" s="106"/>
      <c r="AH33" s="27" t="s">
        <v>55</v>
      </c>
      <c r="AJ33" s="128">
        <f>+N38</f>
        <v>18164</v>
      </c>
      <c r="AK33" s="129"/>
      <c r="AL33" s="129"/>
      <c r="AM33" s="129"/>
      <c r="AN33" s="129"/>
    </row>
    <row r="34" spans="1:40" ht="25.5" customHeight="1">
      <c r="A34" s="1"/>
      <c r="B34" s="69">
        <v>6</v>
      </c>
      <c r="C34" s="181">
        <f>+[86]NUTS3!$EE$101</f>
        <v>15093</v>
      </c>
      <c r="D34" s="182">
        <f>+[86]NUTS3!$EF$101</f>
        <v>14036</v>
      </c>
      <c r="E34" s="181">
        <f>+[86]NUTS3!$ET$101</f>
        <v>10798</v>
      </c>
      <c r="F34" s="182">
        <f>+[86]NUTS3!$EU$101</f>
        <v>9836</v>
      </c>
      <c r="G34" s="181">
        <f>+[86]NUTS3!$FI$101+[86]NUTS3!$HQ$101</f>
        <v>6556</v>
      </c>
      <c r="H34" s="238">
        <f>+[86]NUTS3!$FJ$101+[86]NUTS3!$HR$101</f>
        <v>4291</v>
      </c>
      <c r="I34" s="238">
        <f>+[86]NUTS3!$HQ$101</f>
        <v>3738</v>
      </c>
      <c r="J34" s="238">
        <f>+[86]NUTS3!$HR$101</f>
        <v>2901</v>
      </c>
      <c r="K34" s="181">
        <f>+[86]NUTS3!$IA$101</f>
        <v>2552</v>
      </c>
      <c r="L34" s="182">
        <f>+[86]NUTS3!$IB$101</f>
        <v>12521</v>
      </c>
      <c r="M34" s="181">
        <f>+[86]NUTS3!$GR$101+[86]NUTS3!$HB$101</f>
        <v>8278</v>
      </c>
      <c r="N34" s="182">
        <f>+[86]NUTS3!$GS$101+[86]NUTS3!$HC$101</f>
        <v>12460</v>
      </c>
      <c r="O34" s="241">
        <f>+[86]NUTS3!$IF$101</f>
        <v>609</v>
      </c>
      <c r="P34" s="125">
        <f>+[86]NUTS3!$IG$101</f>
        <v>617</v>
      </c>
      <c r="Q34" s="125">
        <f>+[86]NUTS3!$IK$101</f>
        <v>418</v>
      </c>
      <c r="R34" s="238">
        <f>+[86]NUTS3!$IL$101</f>
        <v>452</v>
      </c>
      <c r="U34" s="119"/>
      <c r="V34" s="119"/>
      <c r="W34" s="119"/>
      <c r="X34" s="119"/>
      <c r="Y34" s="119"/>
      <c r="Z34" s="84"/>
      <c r="AA34" s="84"/>
      <c r="AB34" s="84"/>
      <c r="AC34" s="84"/>
      <c r="AD34" s="106"/>
      <c r="AE34" s="106"/>
      <c r="AF34" s="106"/>
      <c r="AH34" s="40" t="s">
        <v>56</v>
      </c>
      <c r="AI34" s="94"/>
      <c r="AJ34" s="41">
        <f>+X18</f>
        <v>108</v>
      </c>
      <c r="AK34" s="108"/>
      <c r="AL34" s="129"/>
      <c r="AM34" s="129"/>
      <c r="AN34" s="129"/>
    </row>
    <row r="35" spans="1:40" ht="25.5" customHeight="1">
      <c r="A35" s="1"/>
      <c r="B35" s="69">
        <v>7</v>
      </c>
      <c r="C35" s="181">
        <f>+[87]NUTS3!$EE$101</f>
        <v>15829</v>
      </c>
      <c r="D35" s="182">
        <f>+[87]NUTS3!$EF$101</f>
        <v>15319</v>
      </c>
      <c r="E35" s="181">
        <f>+[87]NUTS3!$ET$101</f>
        <v>12269</v>
      </c>
      <c r="F35" s="182">
        <f>+[87]NUTS3!$EU$101</f>
        <v>11960</v>
      </c>
      <c r="G35" s="181">
        <f>+[87]NUTS3!$FI$101+[87]NUTS3!$HQ$101</f>
        <v>7083</v>
      </c>
      <c r="H35" s="238">
        <f>+[87]NUTS3!$FJ$101+[87]NUTS3!$HR$101</f>
        <v>4931</v>
      </c>
      <c r="I35" s="238">
        <f>+[87]NUTS3!$HQ$101</f>
        <v>3994</v>
      </c>
      <c r="J35" s="238">
        <f>+[87]NUTS3!$HR$101</f>
        <v>3212</v>
      </c>
      <c r="K35" s="181">
        <f>+[87]NUTS3!$IA$101</f>
        <v>1982</v>
      </c>
      <c r="L35" s="182">
        <f>+[87]NUTS3!$IB$101</f>
        <v>13642</v>
      </c>
      <c r="M35" s="181">
        <f>+[87]NUTS3!$GR$101+[87]NUTS3!$HB$101</f>
        <v>8128</v>
      </c>
      <c r="N35" s="182">
        <f>+[87]NUTS3!$GS$101+[87]NUTS3!$HC$101</f>
        <v>13575</v>
      </c>
      <c r="O35" s="241">
        <f>+[87]NUTS3!$IF$101</f>
        <v>851</v>
      </c>
      <c r="P35" s="125">
        <f>+[87]NUTS3!$IG$101</f>
        <v>954</v>
      </c>
      <c r="Q35" s="125">
        <f>+[87]NUTS3!$IK$101</f>
        <v>524</v>
      </c>
      <c r="R35" s="238">
        <f>+[87]NUTS3!$IL$101</f>
        <v>733</v>
      </c>
      <c r="U35" s="119"/>
      <c r="V35" s="119"/>
      <c r="W35" s="119"/>
      <c r="X35" s="119"/>
      <c r="Y35" s="119"/>
      <c r="Z35" s="84"/>
      <c r="AA35" s="84"/>
      <c r="AB35" s="84"/>
      <c r="AC35" s="84"/>
      <c r="AD35" s="106"/>
      <c r="AE35" s="106"/>
      <c r="AF35" s="106"/>
      <c r="AH35" s="40" t="s">
        <v>38</v>
      </c>
      <c r="AI35" s="93"/>
      <c r="AJ35" s="41">
        <f>+AB18</f>
        <v>35</v>
      </c>
      <c r="AK35" s="129"/>
      <c r="AL35" s="129"/>
      <c r="AM35" s="129"/>
      <c r="AN35" s="129"/>
    </row>
    <row r="36" spans="1:40" ht="25.5" customHeight="1">
      <c r="A36" s="1"/>
      <c r="B36" s="69">
        <v>8</v>
      </c>
      <c r="C36" s="122">
        <f>+[88]NUTS3!$EE$101</f>
        <v>16181</v>
      </c>
      <c r="D36" s="123">
        <f>+[88]NUTS3!$EF$101</f>
        <v>16053</v>
      </c>
      <c r="E36" s="122">
        <f>+[88]NUTS3!$ET$101</f>
        <v>12975</v>
      </c>
      <c r="F36" s="123">
        <f>+[88]NUTS3!$EU$101</f>
        <v>14010</v>
      </c>
      <c r="G36" s="181">
        <f>+[88]NUTS3!$FI$101+[88]NUTS3!$HQ$101</f>
        <v>7725</v>
      </c>
      <c r="H36" s="238">
        <f>+[88]NUTS3!$FJ$101+[88]NUTS3!$HR$101</f>
        <v>5675</v>
      </c>
      <c r="I36" s="242">
        <f>+[88]NUTS3!$HQ$101</f>
        <v>4381</v>
      </c>
      <c r="J36" s="242">
        <f>+[88]NUTS3!$HR$101</f>
        <v>3645</v>
      </c>
      <c r="K36" s="122">
        <f>+[88]NUTS3!$IA$101</f>
        <v>2201</v>
      </c>
      <c r="L36" s="182">
        <f>+[88]NUTS3!$IB$101</f>
        <v>15412</v>
      </c>
      <c r="M36" s="181">
        <f>+[88]NUTS3!$GR$101+[88]NUTS3!$HB$101</f>
        <v>8025</v>
      </c>
      <c r="N36" s="182">
        <f>+[88]NUTS3!$GS$101+[88]NUTS3!$HC$101</f>
        <v>14572</v>
      </c>
      <c r="O36" s="243">
        <f>+[88]NUTS3!$IF$101</f>
        <v>872</v>
      </c>
      <c r="P36" s="243">
        <f>+[88]NUTS3!$IG$101</f>
        <v>1109</v>
      </c>
      <c r="Q36" s="244">
        <f>+[88]NUTS3!$IK$101</f>
        <v>532</v>
      </c>
      <c r="R36" s="245">
        <f>+[88]NUTS3!$IL$101</f>
        <v>957</v>
      </c>
      <c r="U36" s="119"/>
      <c r="V36" s="119"/>
      <c r="W36" s="119"/>
      <c r="X36" s="119"/>
      <c r="Y36" s="119"/>
      <c r="Z36" s="84"/>
      <c r="AA36" s="84"/>
      <c r="AB36" s="84"/>
      <c r="AC36" s="84"/>
      <c r="AD36" s="106"/>
      <c r="AE36" s="106"/>
      <c r="AF36" s="106"/>
      <c r="AH36" s="40" t="s">
        <v>31</v>
      </c>
      <c r="AI36" s="94"/>
      <c r="AJ36" s="41">
        <f>+AD18</f>
        <v>224</v>
      </c>
      <c r="AK36" s="107"/>
      <c r="AL36" s="107"/>
      <c r="AM36" s="107"/>
      <c r="AN36" s="107"/>
    </row>
    <row r="37" spans="1:40" ht="25.5" customHeight="1">
      <c r="A37" s="1"/>
      <c r="B37" s="69">
        <v>9</v>
      </c>
      <c r="C37" s="122">
        <f>+[89]NUTS3!$EE$101</f>
        <v>16265</v>
      </c>
      <c r="D37" s="123">
        <f>+[89]NUTS3!$EF$101</f>
        <v>16870</v>
      </c>
      <c r="E37" s="122">
        <f>+[89]NUTS3!$ET$101</f>
        <v>13653</v>
      </c>
      <c r="F37" s="123">
        <f>+[89]NUTS3!$EU$101</f>
        <v>16271</v>
      </c>
      <c r="G37" s="181">
        <f>+[89]NUTS3!$FI$101+[89]NUTS3!$HQ$101</f>
        <v>8539</v>
      </c>
      <c r="H37" s="238">
        <f>+[89]NUTS3!$FJ$101+[89]NUTS3!$HR$101</f>
        <v>6613</v>
      </c>
      <c r="I37" s="242">
        <f>+[89]NUTS3!$HQ$101</f>
        <v>4857</v>
      </c>
      <c r="J37" s="242">
        <f>+[89]NUTS3!$HR$101</f>
        <v>4196</v>
      </c>
      <c r="K37" s="122">
        <f>+[89]NUTS3!$IA$101</f>
        <v>3936</v>
      </c>
      <c r="L37" s="182">
        <f>+[89]NUTS3!$IB$101</f>
        <v>18616</v>
      </c>
      <c r="M37" s="181">
        <f>+[89]NUTS3!$GR$101+[89]NUTS3!$HB$101</f>
        <v>8740</v>
      </c>
      <c r="N37" s="182">
        <f>+[89]NUTS3!$GS$101+[89]NUTS3!$HC$101</f>
        <v>16449</v>
      </c>
      <c r="O37" s="243">
        <f>+[89]NUTS3!$IF$101</f>
        <v>810</v>
      </c>
      <c r="P37" s="243">
        <f>+[89]NUTS3!$IG$101</f>
        <v>1250</v>
      </c>
      <c r="Q37" s="244">
        <f>+[89]NUTS3!$IK$101</f>
        <v>442</v>
      </c>
      <c r="R37" s="245">
        <f>+[89]NUTS3!$IL$101</f>
        <v>1140</v>
      </c>
      <c r="U37" s="119"/>
      <c r="V37" s="119"/>
      <c r="W37" s="119"/>
      <c r="X37" s="119"/>
      <c r="Y37" s="119"/>
      <c r="Z37" s="84"/>
      <c r="AA37" s="84"/>
      <c r="AB37" s="84"/>
      <c r="AC37" s="84"/>
      <c r="AD37" s="106"/>
      <c r="AE37" s="106"/>
      <c r="AF37" s="106"/>
      <c r="AH37" s="40" t="s">
        <v>80</v>
      </c>
      <c r="AJ37" s="128">
        <f>+R38</f>
        <v>1367</v>
      </c>
      <c r="AK37" s="112"/>
      <c r="AL37" s="112"/>
      <c r="AM37" s="112"/>
      <c r="AN37" s="112"/>
    </row>
    <row r="38" spans="1:40" ht="25.5" customHeight="1">
      <c r="A38" s="1"/>
      <c r="B38" s="69">
        <v>10</v>
      </c>
      <c r="C38" s="122">
        <f>+[90]NUTS3!$EE$101</f>
        <v>15205</v>
      </c>
      <c r="D38" s="123">
        <f>+[90]NUTS3!$EF$101</f>
        <v>17543</v>
      </c>
      <c r="E38" s="122">
        <f>+[90]NUTS3!$ET$101</f>
        <v>14243</v>
      </c>
      <c r="F38" s="123">
        <f>+[90]NUTS3!$EU$101</f>
        <v>18943</v>
      </c>
      <c r="G38" s="181">
        <f>+[90]NUTS3!$FI$101+[90]NUTS3!$HQ$101</f>
        <v>9709</v>
      </c>
      <c r="H38" s="238">
        <f>+[90]NUTS3!$FJ$101+[90]NUTS3!$HR$101</f>
        <v>7950</v>
      </c>
      <c r="I38" s="242">
        <f>+[90]NUTS3!$HQ$101</f>
        <v>5361</v>
      </c>
      <c r="J38" s="242">
        <f>+[90]NUTS3!$HR$101</f>
        <v>4826</v>
      </c>
      <c r="K38" s="122">
        <f>+[90]NUTS3!$IA$101</f>
        <v>4771</v>
      </c>
      <c r="L38" s="182">
        <f>+[90]NUTS3!$IB$101</f>
        <v>22020</v>
      </c>
      <c r="M38" s="181">
        <f>+[90]NUTS3!$GR$101+[90]NUTS3!$HB$101</f>
        <v>9323</v>
      </c>
      <c r="N38" s="182">
        <f>+[90]NUTS3!$GS$101+[90]NUTS3!$HC$101</f>
        <v>18164</v>
      </c>
      <c r="O38" s="246">
        <f>+[90]NUTS3!$IF$101</f>
        <v>775</v>
      </c>
      <c r="P38" s="246">
        <f>+[90]NUTS3!$IG$101</f>
        <v>1364</v>
      </c>
      <c r="Q38" s="246">
        <f>+[90]NUTS3!$IK$101</f>
        <v>369</v>
      </c>
      <c r="R38" s="247">
        <f>+[90]NUTS3!$IL$101</f>
        <v>1367</v>
      </c>
      <c r="U38" s="119"/>
      <c r="V38" s="119"/>
      <c r="W38" s="119"/>
      <c r="X38" s="119"/>
      <c r="Y38" s="119"/>
      <c r="Z38" s="84"/>
      <c r="AA38" s="84"/>
      <c r="AB38" s="84"/>
      <c r="AC38" s="84"/>
      <c r="AD38" s="106"/>
      <c r="AE38" s="106"/>
      <c r="AF38" s="106"/>
      <c r="AK38" s="111"/>
      <c r="AL38" s="111"/>
      <c r="AM38" s="111"/>
      <c r="AN38" s="115"/>
    </row>
    <row r="39" spans="1:40" ht="25.5" customHeight="1">
      <c r="A39" s="1"/>
      <c r="B39" s="69">
        <v>11</v>
      </c>
      <c r="C39" s="248"/>
      <c r="D39" s="249"/>
      <c r="E39" s="248"/>
      <c r="F39" s="249"/>
      <c r="G39" s="250"/>
      <c r="H39" s="251"/>
      <c r="I39" s="252"/>
      <c r="J39" s="252"/>
      <c r="K39" s="250"/>
      <c r="L39" s="253"/>
      <c r="M39" s="250"/>
      <c r="N39" s="253"/>
      <c r="O39" s="254"/>
      <c r="P39" s="254"/>
      <c r="Q39" s="254"/>
      <c r="R39" s="255"/>
      <c r="U39" s="84"/>
      <c r="V39" s="84"/>
      <c r="W39" s="84"/>
      <c r="X39" s="84"/>
      <c r="Y39" s="84"/>
      <c r="Z39" s="84"/>
      <c r="AA39" s="84"/>
      <c r="AB39" s="84"/>
      <c r="AC39" s="84"/>
      <c r="AD39" s="106"/>
      <c r="AE39" s="106"/>
      <c r="AF39" s="106"/>
      <c r="AK39" s="111"/>
      <c r="AL39" s="111"/>
      <c r="AM39" s="111"/>
      <c r="AN39" s="115"/>
    </row>
    <row r="40" spans="1:40" ht="25.5" customHeight="1" thickBot="1">
      <c r="A40" s="1"/>
      <c r="B40" s="132">
        <v>12</v>
      </c>
      <c r="C40" s="256"/>
      <c r="D40" s="257"/>
      <c r="E40" s="256"/>
      <c r="F40" s="257"/>
      <c r="G40" s="258"/>
      <c r="H40" s="259"/>
      <c r="I40" s="260"/>
      <c r="J40" s="261"/>
      <c r="K40" s="258"/>
      <c r="L40" s="262"/>
      <c r="M40" s="258"/>
      <c r="N40" s="262"/>
      <c r="O40" s="263"/>
      <c r="P40" s="263"/>
      <c r="Q40" s="263"/>
      <c r="R40" s="264"/>
      <c r="U40" s="84"/>
      <c r="V40" s="84"/>
      <c r="W40" s="84"/>
      <c r="X40" s="84"/>
      <c r="Y40" s="84"/>
      <c r="Z40" s="84"/>
      <c r="AA40" s="84"/>
      <c r="AB40" s="84"/>
      <c r="AC40" s="84"/>
      <c r="AD40" s="106"/>
      <c r="AE40" s="106"/>
      <c r="AF40" s="106"/>
      <c r="AH40" s="111"/>
      <c r="AI40" s="93"/>
      <c r="AJ40" s="93"/>
      <c r="AK40" s="111"/>
      <c r="AL40" s="111"/>
      <c r="AM40" s="111"/>
      <c r="AN40" s="115"/>
    </row>
    <row r="41" spans="1:40" ht="18.75" customHeight="1" thickTop="1">
      <c r="A41" s="1"/>
      <c r="B41" s="146" t="s">
        <v>81</v>
      </c>
      <c r="C41" s="188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93"/>
      <c r="Q41" s="93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106"/>
      <c r="AE41" s="106"/>
      <c r="AF41" s="106"/>
      <c r="AH41" s="119"/>
      <c r="AI41" s="93"/>
      <c r="AJ41" s="93"/>
      <c r="AK41" s="119"/>
      <c r="AL41" s="119"/>
      <c r="AM41" s="119"/>
      <c r="AN41" s="119"/>
    </row>
    <row r="42" spans="1:40" ht="16.5" customHeight="1">
      <c r="A42" s="1"/>
      <c r="B42" s="265" t="s">
        <v>82</v>
      </c>
      <c r="C42" s="84"/>
      <c r="D42" s="84"/>
      <c r="E42" s="84"/>
      <c r="F42" s="84"/>
      <c r="G42" s="84"/>
      <c r="H42" s="84"/>
      <c r="I42" s="93"/>
      <c r="J42" s="140"/>
      <c r="K42" s="108"/>
      <c r="L42" s="108"/>
      <c r="M42" s="93"/>
      <c r="N42" s="84"/>
      <c r="O42" s="141"/>
      <c r="P42" s="142"/>
      <c r="Q42" s="93"/>
      <c r="R42" s="93"/>
      <c r="S42" s="93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106"/>
      <c r="AE42" s="106"/>
      <c r="AF42" s="106"/>
      <c r="AH42" s="119"/>
      <c r="AI42" s="93"/>
      <c r="AJ42" s="93"/>
      <c r="AK42" s="119"/>
      <c r="AL42" s="119"/>
      <c r="AM42" s="119"/>
      <c r="AN42" s="119"/>
    </row>
    <row r="43" spans="1:40" ht="15" customHeight="1">
      <c r="A43" s="1"/>
      <c r="B43" s="146" t="s">
        <v>83</v>
      </c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AH43" s="119"/>
      <c r="AI43" s="93"/>
      <c r="AJ43" s="93"/>
      <c r="AK43" s="119"/>
      <c r="AL43" s="119"/>
      <c r="AM43" s="119"/>
      <c r="AN43" s="119"/>
    </row>
    <row r="44" spans="1:40" ht="15.75" customHeight="1">
      <c r="A44" s="1"/>
      <c r="B44" s="265" t="s">
        <v>84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AH44" s="93"/>
      <c r="AI44" s="93"/>
      <c r="AK44" s="93"/>
      <c r="AL44" s="93"/>
      <c r="AM44" s="93"/>
      <c r="AN44" s="93"/>
    </row>
    <row r="45" spans="1:40" ht="20.100000000000001" customHeight="1">
      <c r="AG45" s="40"/>
      <c r="AH45" s="93"/>
      <c r="AI45" s="93"/>
      <c r="AJ45" s="93"/>
      <c r="AK45" s="93"/>
      <c r="AL45" s="93"/>
      <c r="AM45" s="93"/>
      <c r="AN45" s="93"/>
    </row>
    <row r="46" spans="1:40" ht="20.100000000000001" customHeight="1">
      <c r="AI46" s="11"/>
      <c r="AJ46" s="11"/>
      <c r="AK46" s="93"/>
      <c r="AL46" s="93"/>
      <c r="AM46" s="93"/>
      <c r="AN46" s="93"/>
    </row>
    <row r="47" spans="1:40" ht="20.100000000000001" customHeight="1">
      <c r="D47" s="144"/>
      <c r="AK47" s="93"/>
      <c r="AL47" s="93"/>
      <c r="AM47" s="93"/>
      <c r="AN47" s="93"/>
    </row>
    <row r="48" spans="1:40" ht="28.5" customHeight="1">
      <c r="P48" s="145"/>
      <c r="AK48" s="93"/>
      <c r="AL48" s="93"/>
      <c r="AM48" s="93"/>
      <c r="AN48" s="93"/>
    </row>
    <row r="49" spans="2:40" ht="20.100000000000001" customHeight="1">
      <c r="B49" s="146"/>
      <c r="D49" s="146"/>
      <c r="AK49" s="93"/>
      <c r="AL49" s="93"/>
      <c r="AM49" s="93"/>
      <c r="AN49" s="93"/>
    </row>
    <row r="50" spans="2:40" ht="20.100000000000001" customHeight="1">
      <c r="N50" s="11"/>
      <c r="O50" s="11"/>
      <c r="P50" s="147"/>
      <c r="Q50" s="11"/>
      <c r="R50" s="11"/>
      <c r="AK50" s="93"/>
      <c r="AL50" s="93"/>
      <c r="AM50" s="93"/>
      <c r="AN50" s="93"/>
    </row>
    <row r="51" spans="2:40" ht="20.100000000000001" customHeight="1">
      <c r="N51" s="11"/>
      <c r="O51" s="11"/>
      <c r="P51" s="48"/>
      <c r="Q51" s="11"/>
      <c r="R51" s="11"/>
      <c r="AK51" s="93"/>
      <c r="AL51" s="93"/>
      <c r="AM51" s="93"/>
      <c r="AN51" s="93"/>
    </row>
    <row r="52" spans="2:40" ht="20.100000000000001" customHeight="1">
      <c r="N52" s="11"/>
      <c r="O52" s="11"/>
      <c r="P52" s="48"/>
      <c r="Q52" s="11"/>
      <c r="R52" s="11"/>
      <c r="AH52" s="93"/>
      <c r="AI52" s="93"/>
      <c r="AJ52" s="93"/>
      <c r="AK52" s="93"/>
      <c r="AL52" s="93"/>
      <c r="AM52" s="93"/>
      <c r="AN52" s="93"/>
    </row>
    <row r="53" spans="2:40" ht="20.100000000000001" customHeight="1">
      <c r="N53" s="11"/>
      <c r="O53" s="11"/>
      <c r="P53" s="48"/>
      <c r="Q53" s="11"/>
      <c r="R53" s="11"/>
      <c r="AH53" s="93"/>
      <c r="AI53" s="93"/>
      <c r="AJ53" s="93"/>
      <c r="AK53" s="93"/>
      <c r="AL53" s="93"/>
      <c r="AM53" s="93"/>
      <c r="AN53" s="93"/>
    </row>
    <row r="54" spans="2:40" ht="20.100000000000001" customHeight="1">
      <c r="N54" s="11"/>
      <c r="O54" s="105"/>
      <c r="P54" s="148"/>
      <c r="Q54" s="11"/>
      <c r="R54" s="11"/>
      <c r="AH54" s="30"/>
      <c r="AI54" s="30"/>
      <c r="AJ54" s="116"/>
      <c r="AK54" s="116"/>
      <c r="AL54" s="30"/>
      <c r="AM54" s="30"/>
      <c r="AN54" s="30"/>
    </row>
    <row r="55" spans="2:40" ht="20.100000000000001" customHeight="1">
      <c r="N55" s="11"/>
      <c r="O55" s="105"/>
      <c r="P55" s="148"/>
      <c r="Q55" s="11"/>
      <c r="R55" s="11"/>
      <c r="AJ55" s="149"/>
      <c r="AK55" s="149"/>
    </row>
    <row r="56" spans="2:40" ht="20.100000000000001" customHeight="1">
      <c r="N56" s="11"/>
      <c r="O56" s="105"/>
      <c r="P56" s="150"/>
      <c r="Q56" s="11"/>
      <c r="R56" s="11"/>
    </row>
    <row r="57" spans="2:40" ht="20.100000000000001" customHeight="1">
      <c r="N57" s="11"/>
      <c r="O57" s="105"/>
      <c r="P57" s="150"/>
      <c r="Q57" s="11"/>
      <c r="R57" s="11"/>
    </row>
    <row r="58" spans="2:40" ht="20.100000000000001" customHeight="1">
      <c r="N58" s="11"/>
      <c r="O58" s="105"/>
      <c r="P58" s="150"/>
      <c r="Q58" s="11"/>
      <c r="R58" s="11"/>
    </row>
    <row r="59" spans="2:40" ht="20.100000000000001" customHeight="1">
      <c r="N59" s="11"/>
      <c r="O59" s="105"/>
      <c r="P59" s="150"/>
      <c r="Q59" s="11"/>
      <c r="R59" s="11"/>
    </row>
    <row r="60" spans="2:40" ht="20.100000000000001" customHeight="1">
      <c r="N60" s="11"/>
      <c r="O60" s="105"/>
      <c r="P60" s="150"/>
      <c r="Q60" s="11"/>
      <c r="R60" s="11"/>
    </row>
    <row r="61" spans="2:40" ht="21.75" customHeight="1">
      <c r="N61" s="11"/>
      <c r="O61" s="105"/>
      <c r="P61" s="150"/>
      <c r="Q61" s="11"/>
      <c r="R61" s="151"/>
      <c r="S61" s="152"/>
      <c r="T61" s="152"/>
      <c r="U61" s="152"/>
      <c r="V61" s="152"/>
      <c r="W61" s="152"/>
      <c r="X61" s="152"/>
      <c r="AI61" s="128"/>
      <c r="AJ61" s="128"/>
    </row>
    <row r="62" spans="2:40" ht="21.75" customHeight="1">
      <c r="N62" s="11"/>
      <c r="O62" s="105"/>
      <c r="P62" s="150"/>
      <c r="Q62" s="11"/>
      <c r="R62" s="151"/>
      <c r="S62" s="152"/>
      <c r="T62" s="152"/>
      <c r="U62" s="152"/>
      <c r="V62" s="152"/>
      <c r="W62" s="152"/>
      <c r="X62" s="152"/>
      <c r="AI62" s="128"/>
      <c r="AJ62" s="128"/>
    </row>
    <row r="63" spans="2:40" ht="21.95" customHeight="1">
      <c r="B63" s="153"/>
      <c r="C63" s="111"/>
      <c r="D63" s="111"/>
      <c r="E63" s="111"/>
      <c r="F63" s="111"/>
      <c r="G63" s="111"/>
      <c r="H63" s="111"/>
      <c r="I63" s="154"/>
      <c r="J63" s="152"/>
      <c r="N63" s="151"/>
      <c r="O63" s="105"/>
      <c r="P63" s="150"/>
      <c r="Q63" s="151"/>
      <c r="R63" s="155"/>
      <c r="S63" s="156"/>
      <c r="T63" s="156"/>
      <c r="U63" s="156"/>
      <c r="V63" s="156"/>
      <c r="W63" s="156"/>
      <c r="X63" s="156"/>
      <c r="AI63" s="128"/>
      <c r="AJ63" s="128"/>
    </row>
    <row r="64" spans="2:40" ht="21.95" customHeight="1">
      <c r="B64" s="153"/>
      <c r="C64" s="111"/>
      <c r="D64" s="111"/>
      <c r="E64" s="111"/>
      <c r="F64" s="111"/>
      <c r="G64" s="111"/>
      <c r="H64" s="111"/>
      <c r="I64" s="154"/>
      <c r="J64" s="152"/>
      <c r="K64" s="152"/>
      <c r="L64" s="152"/>
      <c r="M64" s="152"/>
      <c r="N64" s="151"/>
      <c r="O64" s="105"/>
      <c r="P64" s="150"/>
      <c r="Q64" s="151"/>
      <c r="R64" s="155"/>
      <c r="S64" s="156"/>
      <c r="T64" s="156"/>
      <c r="U64" s="156"/>
      <c r="V64" s="156"/>
      <c r="W64" s="156"/>
      <c r="X64" s="156"/>
      <c r="AI64" s="128"/>
      <c r="AJ64" s="128"/>
    </row>
    <row r="65" spans="2:36" ht="21.95" customHeight="1">
      <c r="B65" s="105"/>
      <c r="C65" s="93"/>
      <c r="D65" s="93"/>
      <c r="E65" s="93"/>
      <c r="F65" s="93"/>
      <c r="G65" s="93"/>
      <c r="H65" s="93"/>
      <c r="I65" s="93"/>
      <c r="J65" s="156"/>
      <c r="K65" s="156"/>
      <c r="L65" s="156"/>
      <c r="M65" s="156"/>
      <c r="N65" s="155"/>
      <c r="O65" s="105"/>
      <c r="P65" s="157"/>
      <c r="Q65" s="155"/>
      <c r="R65" s="155"/>
      <c r="S65" s="156"/>
      <c r="T65" s="156"/>
      <c r="U65" s="156"/>
      <c r="V65" s="156"/>
      <c r="W65" s="156"/>
      <c r="X65" s="156"/>
      <c r="AI65" s="128"/>
      <c r="AJ65" s="128"/>
    </row>
    <row r="66" spans="2:36" ht="21.95" customHeight="1">
      <c r="B66" s="105"/>
      <c r="C66" s="93"/>
      <c r="D66" s="93"/>
      <c r="E66" s="93"/>
      <c r="F66" s="93"/>
      <c r="G66" s="93"/>
      <c r="H66" s="93"/>
      <c r="I66" s="93"/>
      <c r="J66" s="156"/>
      <c r="K66" s="156"/>
      <c r="L66" s="156"/>
      <c r="M66" s="156"/>
      <c r="N66" s="155"/>
      <c r="O66" s="155"/>
      <c r="P66" s="155"/>
      <c r="Q66" s="155"/>
      <c r="R66" s="155"/>
      <c r="S66" s="156"/>
      <c r="T66" s="156"/>
      <c r="U66" s="156"/>
      <c r="V66" s="156"/>
      <c r="W66" s="156"/>
      <c r="X66" s="156"/>
      <c r="AI66" s="128"/>
      <c r="AJ66" s="128"/>
    </row>
    <row r="67" spans="2:36" ht="21.95" customHeight="1">
      <c r="B67" s="105"/>
      <c r="C67" s="93"/>
      <c r="D67" s="93"/>
      <c r="E67" s="93"/>
      <c r="F67" s="93"/>
      <c r="G67" s="93"/>
      <c r="H67" s="93"/>
      <c r="I67" s="93"/>
      <c r="J67" s="156"/>
      <c r="K67" s="156"/>
      <c r="L67" s="156"/>
      <c r="M67" s="156"/>
      <c r="N67" s="155"/>
      <c r="O67" s="155"/>
      <c r="P67" s="155"/>
      <c r="Q67" s="155"/>
      <c r="R67" s="155"/>
      <c r="S67" s="156"/>
      <c r="T67" s="156"/>
      <c r="U67" s="156"/>
      <c r="V67" s="156"/>
      <c r="W67" s="156"/>
      <c r="X67" s="156"/>
      <c r="AI67" s="128"/>
      <c r="AJ67" s="128"/>
    </row>
    <row r="68" spans="2:36" ht="21.95" customHeight="1">
      <c r="B68" s="105"/>
      <c r="C68" s="93"/>
      <c r="D68" s="93"/>
      <c r="E68" s="93"/>
      <c r="F68" s="93"/>
      <c r="G68" s="93"/>
      <c r="H68" s="93"/>
      <c r="I68" s="93"/>
      <c r="J68" s="156"/>
      <c r="K68" s="156"/>
      <c r="L68" s="156"/>
      <c r="M68" s="156"/>
      <c r="N68" s="155"/>
      <c r="O68" s="155"/>
      <c r="P68" s="155"/>
      <c r="Q68" s="155"/>
      <c r="R68" s="155"/>
      <c r="S68" s="156"/>
      <c r="T68" s="156"/>
      <c r="U68" s="156"/>
      <c r="V68" s="156"/>
      <c r="W68" s="156"/>
      <c r="X68" s="156"/>
      <c r="AI68" s="128"/>
      <c r="AJ68" s="128"/>
    </row>
    <row r="69" spans="2:36" ht="21.95" customHeight="1">
      <c r="B69" s="105"/>
      <c r="C69" s="93"/>
      <c r="D69" s="93"/>
      <c r="E69" s="93"/>
      <c r="F69" s="93"/>
      <c r="G69" s="93"/>
      <c r="H69" s="93"/>
      <c r="I69" s="93"/>
      <c r="J69" s="156"/>
      <c r="K69" s="156"/>
      <c r="L69" s="156"/>
      <c r="M69" s="156"/>
      <c r="N69" s="155"/>
      <c r="O69" s="155"/>
      <c r="P69" s="155"/>
      <c r="Q69" s="155"/>
      <c r="R69" s="155"/>
      <c r="S69" s="156"/>
      <c r="T69" s="156"/>
      <c r="U69" s="156"/>
      <c r="V69" s="156"/>
      <c r="W69" s="156"/>
      <c r="X69" s="156"/>
      <c r="AI69" s="128"/>
      <c r="AJ69" s="128"/>
    </row>
    <row r="70" spans="2:36" ht="21.95" customHeight="1">
      <c r="B70" s="105"/>
      <c r="C70" s="93"/>
      <c r="D70" s="93"/>
      <c r="E70" s="93"/>
      <c r="F70" s="93"/>
      <c r="G70" s="93"/>
      <c r="H70" s="93"/>
      <c r="I70" s="93"/>
      <c r="J70" s="156"/>
      <c r="K70" s="156"/>
      <c r="L70" s="156"/>
      <c r="M70" s="156"/>
      <c r="N70" s="155"/>
      <c r="O70" s="155"/>
      <c r="P70" s="155"/>
      <c r="Q70" s="155"/>
      <c r="R70" s="155"/>
      <c r="S70" s="156"/>
      <c r="T70" s="156"/>
      <c r="U70" s="156"/>
      <c r="V70" s="156"/>
      <c r="W70" s="156"/>
      <c r="X70" s="156"/>
      <c r="AI70" s="128"/>
      <c r="AJ70" s="128"/>
    </row>
    <row r="71" spans="2:36" ht="21.95" customHeight="1">
      <c r="B71" s="105"/>
      <c r="C71" s="93"/>
      <c r="D71" s="93"/>
      <c r="E71" s="93"/>
      <c r="F71" s="93"/>
      <c r="G71" s="93"/>
      <c r="H71" s="93"/>
      <c r="I71" s="93"/>
      <c r="J71" s="156"/>
      <c r="K71" s="156"/>
      <c r="L71" s="156"/>
      <c r="M71" s="156"/>
      <c r="N71" s="155"/>
      <c r="O71" s="155"/>
      <c r="P71" s="155"/>
      <c r="Q71" s="155"/>
      <c r="R71" s="155"/>
      <c r="S71" s="156"/>
      <c r="T71" s="156"/>
      <c r="U71" s="156"/>
      <c r="V71" s="156"/>
      <c r="W71" s="156"/>
      <c r="X71" s="156"/>
    </row>
    <row r="72" spans="2:36" ht="21.95" customHeight="1">
      <c r="B72" s="105"/>
      <c r="C72" s="93"/>
      <c r="D72" s="93"/>
      <c r="E72" s="93"/>
      <c r="F72" s="93"/>
      <c r="G72" s="93"/>
      <c r="H72" s="93"/>
      <c r="I72" s="93"/>
      <c r="J72" s="156"/>
      <c r="K72" s="156"/>
      <c r="L72" s="156"/>
      <c r="M72" s="156"/>
      <c r="N72" s="155"/>
      <c r="O72" s="155"/>
      <c r="P72" s="155"/>
      <c r="Q72" s="155"/>
      <c r="R72" s="155"/>
      <c r="S72" s="156"/>
      <c r="T72" s="156"/>
      <c r="U72" s="156"/>
      <c r="V72" s="156"/>
      <c r="W72" s="156"/>
      <c r="X72" s="156"/>
    </row>
    <row r="73" spans="2:36" ht="21.95" customHeight="1">
      <c r="B73" s="105"/>
      <c r="C73" s="93"/>
      <c r="D73" s="93"/>
      <c r="E73" s="93"/>
      <c r="F73" s="93"/>
      <c r="G73" s="93"/>
      <c r="H73" s="93"/>
      <c r="I73" s="93"/>
      <c r="J73" s="156"/>
      <c r="K73" s="156"/>
      <c r="L73" s="156"/>
      <c r="M73" s="156"/>
      <c r="N73" s="155"/>
      <c r="O73" s="155"/>
      <c r="P73" s="155"/>
      <c r="Q73" s="155"/>
      <c r="R73" s="155"/>
      <c r="S73" s="156"/>
      <c r="T73" s="156"/>
      <c r="U73" s="156"/>
      <c r="V73" s="156"/>
      <c r="W73" s="156"/>
      <c r="X73" s="156"/>
    </row>
    <row r="74" spans="2:36" ht="21.95" customHeight="1">
      <c r="B74" s="105"/>
      <c r="C74" s="93"/>
      <c r="D74" s="93"/>
      <c r="E74" s="93"/>
      <c r="F74" s="93"/>
      <c r="G74" s="93"/>
      <c r="H74" s="93"/>
      <c r="I74" s="93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</row>
    <row r="75" spans="2:36" ht="20.100000000000001" customHeight="1">
      <c r="B75" s="105"/>
      <c r="C75" s="93"/>
      <c r="D75" s="93"/>
      <c r="E75" s="93"/>
      <c r="F75" s="93"/>
      <c r="G75" s="93"/>
      <c r="H75" s="93"/>
      <c r="I75" s="93"/>
      <c r="J75" s="156"/>
      <c r="K75" s="156"/>
      <c r="L75" s="156"/>
      <c r="M75" s="156"/>
      <c r="N75" s="156"/>
      <c r="O75" s="156"/>
      <c r="P75" s="156"/>
      <c r="Q75" s="156"/>
    </row>
    <row r="76" spans="2:36" ht="20.100000000000001" customHeight="1">
      <c r="B76" s="105"/>
      <c r="C76" s="93"/>
      <c r="D76" s="93"/>
      <c r="E76" s="93"/>
      <c r="F76" s="93"/>
      <c r="G76" s="93"/>
      <c r="H76" s="93"/>
      <c r="I76" s="93"/>
      <c r="J76" s="156"/>
      <c r="K76" s="156"/>
      <c r="L76" s="156"/>
      <c r="M76" s="156"/>
      <c r="N76" s="156"/>
      <c r="O76" s="156"/>
      <c r="P76" s="156"/>
      <c r="Q76" s="156"/>
    </row>
    <row r="77" spans="2:36" ht="20.100000000000001" customHeight="1"/>
    <row r="78" spans="2:36" ht="20.100000000000001" customHeight="1"/>
    <row r="79" spans="2:36" ht="20.100000000000001" customHeight="1"/>
    <row r="80" spans="2:36" ht="20.100000000000001" customHeight="1"/>
    <row r="81" spans="3:4" ht="20.100000000000001" customHeight="1"/>
    <row r="82" spans="3:4" ht="20.100000000000001" customHeight="1"/>
    <row r="86" spans="3:4">
      <c r="C86" s="158"/>
    </row>
    <row r="87" spans="3:4">
      <c r="C87" s="159"/>
    </row>
    <row r="88" spans="3:4">
      <c r="D88" s="152"/>
    </row>
    <row r="89" spans="3:4">
      <c r="D89" s="160"/>
    </row>
    <row r="90" spans="3:4">
      <c r="D90" s="160"/>
    </row>
    <row r="129" spans="3:4">
      <c r="C129">
        <v>9590</v>
      </c>
      <c r="D129">
        <f>9*140</f>
        <v>1260</v>
      </c>
    </row>
    <row r="130" spans="3:4">
      <c r="C130">
        <v>9590</v>
      </c>
      <c r="D130">
        <v>1260</v>
      </c>
    </row>
    <row r="131" spans="3:4">
      <c r="C131">
        <v>9590</v>
      </c>
      <c r="D131">
        <v>1260</v>
      </c>
    </row>
    <row r="132" spans="3:4">
      <c r="C132">
        <f>+C129+C130+C131</f>
        <v>28770</v>
      </c>
      <c r="D132">
        <f>+D129+D130+D131</f>
        <v>3780</v>
      </c>
    </row>
    <row r="133" spans="3:4">
      <c r="C133">
        <f>+C132+D132</f>
        <v>32550</v>
      </c>
      <c r="D133">
        <f>+C133-5500</f>
        <v>27050</v>
      </c>
    </row>
  </sheetData>
  <mergeCells count="43">
    <mergeCell ref="I63:I64"/>
    <mergeCell ref="M24:N24"/>
    <mergeCell ref="O24:R24"/>
    <mergeCell ref="C25:D25"/>
    <mergeCell ref="E25:F25"/>
    <mergeCell ref="G25:H25"/>
    <mergeCell ref="I25:J25"/>
    <mergeCell ref="K25:L25"/>
    <mergeCell ref="M25:N25"/>
    <mergeCell ref="O25:P25"/>
    <mergeCell ref="Q25:R25"/>
    <mergeCell ref="W5:X5"/>
    <mergeCell ref="Y5:Z5"/>
    <mergeCell ref="AA5:AB5"/>
    <mergeCell ref="AC5:AD5"/>
    <mergeCell ref="B24:B28"/>
    <mergeCell ref="C24:D24"/>
    <mergeCell ref="E24:F24"/>
    <mergeCell ref="G24:H24"/>
    <mergeCell ref="I24:J24"/>
    <mergeCell ref="K24:L24"/>
    <mergeCell ref="K5:L5"/>
    <mergeCell ref="M5:N5"/>
    <mergeCell ref="O5:P5"/>
    <mergeCell ref="Q5:R5"/>
    <mergeCell ref="S5:T5"/>
    <mergeCell ref="U5:V5"/>
    <mergeCell ref="Q4:T4"/>
    <mergeCell ref="U4:V4"/>
    <mergeCell ref="W4:X4"/>
    <mergeCell ref="Y4:Z4"/>
    <mergeCell ref="AA4:AB4"/>
    <mergeCell ref="AC4:AD4"/>
    <mergeCell ref="A1:A44"/>
    <mergeCell ref="B4:B8"/>
    <mergeCell ref="C4:F4"/>
    <mergeCell ref="G4:J4"/>
    <mergeCell ref="K4:N4"/>
    <mergeCell ref="O4:P4"/>
    <mergeCell ref="C5:D5"/>
    <mergeCell ref="E5:F5"/>
    <mergeCell ref="G5:H5"/>
    <mergeCell ref="I5:J5"/>
  </mergeCells>
  <printOptions horizontalCentered="1"/>
  <pageMargins left="0.15748031496062992" right="3.937007874015748E-2" top="0.78740157480314965" bottom="0.31496062992125984" header="0.19685039370078741" footer="0.15748031496062992"/>
  <pageSetup paperSize="9" scale="4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2011</vt:lpstr>
      <vt:lpstr>2012</vt:lpstr>
      <vt:lpstr>2013</vt:lpstr>
      <vt:lpstr>2014</vt:lpstr>
      <vt:lpstr>'2011'!Názvy_tisku</vt:lpstr>
      <vt:lpstr>'2012'!Názvy_tisku</vt:lpstr>
      <vt:lpstr>'2013'!Názvy_tisku</vt:lpstr>
      <vt:lpstr>'2014'!Názvy_tisku</vt:lpstr>
      <vt:lpstr>'2011'!Oblast_tisku</vt:lpstr>
      <vt:lpstr>'2012'!Oblast_tisku</vt:lpstr>
      <vt:lpstr>'2013'!Oblast_tisku</vt:lpstr>
      <vt:lpstr>'2014'!Oblast_tisku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Dušánková Olga Ing. (ÚPGŘ)</dc:creator>
  <cp:lastModifiedBy>Dušánková Olga Ing. (ÚPGŘ)</cp:lastModifiedBy>
  <dcterms:created xsi:type="dcterms:W3CDTF">2014-11-20T08:05:58Z</dcterms:created>
  <dcterms:modified xsi:type="dcterms:W3CDTF">2014-11-20T08:36:43Z</dcterms:modified>
</cp:coreProperties>
</file>